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c33d3987857348e1" Type="http://schemas.microsoft.com/office/2007/relationships/ui/extensibility" Target="customUI/customUI14.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codeName="{1563B04E-AB91-75FE-B8BC-B18F01832D57}"/>
  <workbookPr codeName="ThisWorkbook" defaultThemeVersion="124226"/>
  <bookViews>
    <workbookView xWindow="0" yWindow="0" windowWidth="8040" windowHeight="4860" activeTab="1"/>
  </bookViews>
  <sheets>
    <sheet name="KPI and Intervention assessment" sheetId="2" r:id="rId1"/>
    <sheet name="ROA Worksheet" sheetId="1" r:id="rId2"/>
  </sheets>
  <definedNames>
    <definedName name="Benefit1KPI1">'KPI and Intervention assessment'!$D$10</definedName>
    <definedName name="Benefit1KPI1Rating">'KPI and Intervention assessment'!$D$9</definedName>
    <definedName name="Benefit1KPI2">'KPI and Intervention assessment'!$E$10</definedName>
    <definedName name="Benefit1KPI2Rating">'KPI and Intervention assessment'!$E$9</definedName>
    <definedName name="Benefit2KPI1">'KPI and Intervention assessment'!$F$10</definedName>
    <definedName name="Benefit2KPI1Rating">'KPI and Intervention assessment'!$F$9</definedName>
    <definedName name="Benefit2KPI2">'KPI and Intervention assessment'!$G$10</definedName>
    <definedName name="Benefit2KPI2Rating">'KPI and Intervention assessment'!$G$9</definedName>
    <definedName name="Benefit3KPI1">'KPI and Intervention assessment'!$H$10</definedName>
    <definedName name="Benefit3KPI1Rating">'KPI and Intervention assessment'!$H$9</definedName>
    <definedName name="Benefit3KPI2">'KPI and Intervention assessment'!$I$10</definedName>
    <definedName name="Benefit3KPI2Rating">'KPI and Intervention assessment'!$I$9</definedName>
    <definedName name="Benefit4KPI1">'KPI and Intervention assessment'!$J$10</definedName>
    <definedName name="Benefit4KPI1Rating">'KPI and Intervention assessment'!$J$9</definedName>
    <definedName name="Benefit4KPI2">'KPI and Intervention assessment'!$K$10</definedName>
    <definedName name="Benefit4KPI2Rating">'KPI and Intervention assessment'!$K$9</definedName>
    <definedName name="DepartmentName">'ROA Worksheet'!$J$2</definedName>
    <definedName name="InvestmentSubtitle">'ROA Worksheet'!$B$5</definedName>
    <definedName name="InvestmentTitle">'ROA Worksheet'!$B$3</definedName>
    <definedName name="Option1Benefit1">'KPI and Intervention assessment'!$D$16</definedName>
    <definedName name="Option1Benefit2">'KPI and Intervention assessment'!$F$16</definedName>
    <definedName name="Option1Benefit3">'KPI and Intervention assessment'!$H$16</definedName>
    <definedName name="Option1Benefit4">'KPI and Intervention assessment'!$J$16</definedName>
    <definedName name="Option1Description">'KPI and Intervention assessment'!$B$5</definedName>
    <definedName name="Option1Interventions">'KPI and Intervention assessment'!$B$10</definedName>
    <definedName name="Option1Title">'KPI and Intervention assessment'!$B$4</definedName>
    <definedName name="Option1WeightedBenefit">'KPI and Intervention assessment'!$L$16</definedName>
    <definedName name="Option2Benefit1">'KPI and Intervention assessment'!$D$32</definedName>
    <definedName name="Option2Benefit2">'KPI and Intervention assessment'!$F$32</definedName>
    <definedName name="Option2Benefit3">'KPI and Intervention assessment'!$H$32</definedName>
    <definedName name="Option2Benefit4">'KPI and Intervention assessment'!$J$32</definedName>
    <definedName name="Option2Description">'KPI and Intervention assessment'!$B$21</definedName>
    <definedName name="Option2Interventions">'KPI and Intervention assessment'!$B$26</definedName>
    <definedName name="Option2Title">'KPI and Intervention assessment'!$B$20</definedName>
    <definedName name="Option2WeightedBenefit">'KPI and Intervention assessment'!$L$32</definedName>
    <definedName name="Option3Benefit1">'KPI and Intervention assessment'!$D$48</definedName>
    <definedName name="Option3Benefit2">'KPI and Intervention assessment'!$F$48</definedName>
    <definedName name="Option3Benefit3">'KPI and Intervention assessment'!$H$48</definedName>
    <definedName name="Option3Benefit4">'KPI and Intervention assessment'!$J$48</definedName>
    <definedName name="Option3Description">'KPI and Intervention assessment'!$B$37</definedName>
    <definedName name="Option3Interventions">'KPI and Intervention assessment'!$B$42</definedName>
    <definedName name="Option3Title">'KPI and Intervention assessment'!$B$36</definedName>
    <definedName name="Option3WeightedBenefit">'KPI and Intervention assessment'!$L$48</definedName>
    <definedName name="Option4Benefit1">'KPI and Intervention assessment'!$D$64</definedName>
    <definedName name="Option4Benefit2">'KPI and Intervention assessment'!$F$64</definedName>
    <definedName name="Option4Benefit3">'KPI and Intervention assessment'!$H$64</definedName>
    <definedName name="Option4Benefit4">'KPI and Intervention assessment'!$J$64</definedName>
    <definedName name="Option4Description">'KPI and Intervention assessment'!$B$53</definedName>
    <definedName name="Option4Interventions">'KPI and Intervention assessment'!$B$58</definedName>
    <definedName name="Option4Title">'KPI and Intervention assessment'!$B$52</definedName>
    <definedName name="Option4WeightedBenefit">'KPI and Intervention assessment'!$L$64</definedName>
    <definedName name="Option5Benefit1">'KPI and Intervention assessment'!$D$80</definedName>
    <definedName name="Option5Benefit2">'KPI and Intervention assessment'!$F$80</definedName>
    <definedName name="Option5Benefit3">'KPI and Intervention assessment'!$H$80</definedName>
    <definedName name="Option5Benefit4">'KPI and Intervention assessment'!$J$80</definedName>
    <definedName name="Option5Description">'KPI and Intervention assessment'!$B$69</definedName>
    <definedName name="Option5Interventions">'KPI and Intervention assessment'!$B$74</definedName>
    <definedName name="Option5Title">'KPI and Intervention assessment'!$B$68</definedName>
    <definedName name="Option5WeightedBenefit">'KPI and Intervention assessment'!$L$80</definedName>
    <definedName name="Option6Benefit1">'KPI and Intervention assessment'!$D$96</definedName>
    <definedName name="Option6Benefit2">'KPI and Intervention assessment'!$F$96</definedName>
    <definedName name="Option6Benefit3">'KPI and Intervention assessment'!$H$96</definedName>
    <definedName name="Option6Benefit4">'KPI and Intervention assessment'!$J$96</definedName>
    <definedName name="Option6Description">'KPI and Intervention assessment'!$B$85</definedName>
    <definedName name="Option6Interventions">'KPI and Intervention assessment'!$B$90</definedName>
    <definedName name="Option6Title">'KPI and Intervention assessment'!$B$84</definedName>
    <definedName name="Option6WeightedBenefit">'KPI and Intervention assessment'!$L$96</definedName>
    <definedName name="OverallAssessment">'ROA Worksheet'!$E$68</definedName>
    <definedName name="_xlnm.Print_Area" localSheetId="1">'ROA Worksheet'!$A$5:$J$90</definedName>
    <definedName name="Recommendation">'ROA Worksheet'!$E$71</definedName>
    <definedName name="ROAInterventions">'ROA Worksheet'!$A$12</definedName>
    <definedName name="ROARisks">'ROA Worksheet'!$A$43</definedName>
  </definedNames>
  <calcPr calcId="171027"/>
</workbook>
</file>

<file path=xl/calcChain.xml><?xml version="1.0" encoding="utf-8"?>
<calcChain xmlns="http://schemas.openxmlformats.org/spreadsheetml/2006/main">
  <c r="K89" i="2" l="1"/>
  <c r="J89" i="2"/>
  <c r="I89" i="2"/>
  <c r="H89" i="2"/>
  <c r="G89" i="2"/>
  <c r="F89" i="2"/>
  <c r="E89" i="2"/>
  <c r="D89" i="2"/>
  <c r="K73" i="2"/>
  <c r="J73" i="2"/>
  <c r="I73" i="2"/>
  <c r="H73" i="2"/>
  <c r="G73" i="2"/>
  <c r="F73" i="2"/>
  <c r="E73" i="2"/>
  <c r="D73" i="2"/>
  <c r="K57" i="2"/>
  <c r="J57" i="2"/>
  <c r="I57" i="2"/>
  <c r="H57" i="2"/>
  <c r="G57" i="2"/>
  <c r="F57" i="2"/>
  <c r="E57" i="2"/>
  <c r="D57" i="2"/>
  <c r="K41" i="2"/>
  <c r="J41" i="2"/>
  <c r="I41" i="2"/>
  <c r="H41" i="2"/>
  <c r="G41" i="2"/>
  <c r="F41" i="2"/>
  <c r="E41" i="2"/>
  <c r="D41" i="2"/>
  <c r="K25" i="2"/>
  <c r="J25" i="2"/>
  <c r="I25" i="2"/>
  <c r="H25" i="2"/>
  <c r="G25" i="2"/>
  <c r="F25" i="2"/>
  <c r="E25" i="2"/>
  <c r="D25" i="2"/>
  <c r="K95" i="2" l="1"/>
  <c r="J95" i="2"/>
  <c r="I95" i="2"/>
  <c r="H95" i="2"/>
  <c r="G95" i="2"/>
  <c r="F95" i="2"/>
  <c r="E95" i="2"/>
  <c r="D95" i="2"/>
  <c r="K79" i="2"/>
  <c r="J79" i="2"/>
  <c r="I79" i="2"/>
  <c r="H79" i="2"/>
  <c r="G79" i="2"/>
  <c r="F79" i="2"/>
  <c r="E79" i="2"/>
  <c r="D79" i="2"/>
  <c r="K63" i="2"/>
  <c r="J63" i="2"/>
  <c r="I63" i="2"/>
  <c r="H63" i="2"/>
  <c r="G63" i="2"/>
  <c r="F63" i="2"/>
  <c r="E63" i="2"/>
  <c r="D63" i="2"/>
  <c r="K47" i="2"/>
  <c r="J47" i="2"/>
  <c r="I47" i="2"/>
  <c r="H47" i="2"/>
  <c r="G47" i="2"/>
  <c r="F47" i="2"/>
  <c r="E47" i="2"/>
  <c r="D47" i="2"/>
  <c r="K31" i="2"/>
  <c r="J31" i="2"/>
  <c r="I31" i="2"/>
  <c r="H31" i="2"/>
  <c r="G31" i="2"/>
  <c r="F31" i="2"/>
  <c r="E31" i="2"/>
  <c r="D31" i="2"/>
  <c r="K15" i="2"/>
  <c r="J15" i="2"/>
  <c r="I15" i="2"/>
  <c r="H15" i="2"/>
  <c r="G15" i="2"/>
  <c r="F15" i="2"/>
  <c r="F16" i="2" s="1"/>
  <c r="E15" i="2"/>
  <c r="J16" i="2"/>
  <c r="D15" i="2"/>
  <c r="H16" i="2" l="1"/>
  <c r="D16" i="2"/>
  <c r="E11" i="1" l="1"/>
  <c r="F25" i="1" l="1"/>
  <c r="G25" i="1"/>
  <c r="H25" i="1"/>
  <c r="I25" i="1"/>
  <c r="J25" i="1"/>
  <c r="E25" i="1"/>
  <c r="C95" i="2"/>
  <c r="C79" i="2"/>
  <c r="C63" i="2"/>
  <c r="C47" i="2"/>
  <c r="C31" i="2"/>
  <c r="C15" i="2"/>
  <c r="K90" i="2" l="1"/>
  <c r="J90" i="2"/>
  <c r="I90" i="2"/>
  <c r="H90" i="2"/>
  <c r="G90" i="2"/>
  <c r="F90" i="2"/>
  <c r="E90" i="2"/>
  <c r="D90" i="2"/>
  <c r="K74" i="2"/>
  <c r="J74" i="2"/>
  <c r="I74" i="2"/>
  <c r="H74" i="2"/>
  <c r="G74" i="2"/>
  <c r="F74" i="2"/>
  <c r="E74" i="2"/>
  <c r="D74" i="2"/>
  <c r="K58" i="2"/>
  <c r="J58" i="2"/>
  <c r="I58" i="2"/>
  <c r="H58" i="2"/>
  <c r="G58" i="2"/>
  <c r="F58" i="2"/>
  <c r="E58" i="2"/>
  <c r="D58" i="2"/>
  <c r="K42" i="2"/>
  <c r="J42" i="2"/>
  <c r="I42" i="2"/>
  <c r="H42" i="2"/>
  <c r="G42" i="2"/>
  <c r="F42" i="2"/>
  <c r="E42" i="2"/>
  <c r="D42" i="2"/>
  <c r="K26" i="2"/>
  <c r="J26" i="2"/>
  <c r="I26" i="2"/>
  <c r="H26" i="2"/>
  <c r="G26" i="2"/>
  <c r="F26" i="2"/>
  <c r="E26" i="2"/>
  <c r="D26" i="2"/>
  <c r="J80" i="2"/>
  <c r="J48" i="2"/>
  <c r="H80" i="2"/>
  <c r="H48" i="2"/>
  <c r="F80" i="2"/>
  <c r="F48" i="2"/>
  <c r="F64" i="2" l="1"/>
  <c r="H32" i="2"/>
  <c r="H96" i="2"/>
  <c r="J64" i="2"/>
  <c r="F32" i="2"/>
  <c r="F96" i="2"/>
  <c r="H64" i="2"/>
  <c r="J32" i="2"/>
  <c r="J96" i="2"/>
  <c r="J11" i="1"/>
  <c r="I11" i="1"/>
  <c r="H11" i="1"/>
  <c r="G11" i="1"/>
  <c r="F11" i="1"/>
  <c r="J40" i="1" l="1"/>
  <c r="J39" i="1"/>
  <c r="J41" i="1"/>
  <c r="I39" i="1" l="1"/>
  <c r="G39" i="1"/>
  <c r="G41" i="1"/>
  <c r="H39" i="1"/>
  <c r="H41" i="1"/>
  <c r="I41" i="1"/>
  <c r="G40" i="1"/>
  <c r="H40" i="1"/>
  <c r="I40" i="1"/>
  <c r="E40" i="1" l="1"/>
  <c r="E41" i="1"/>
  <c r="E39" i="1"/>
  <c r="F41" i="1"/>
  <c r="F40" i="1"/>
  <c r="F39" i="1"/>
  <c r="H35" i="1" l="1"/>
  <c r="E35" i="1" l="1"/>
  <c r="F35" i="1"/>
  <c r="G35" i="1"/>
  <c r="I35" i="1"/>
  <c r="J35" i="1"/>
  <c r="L16" i="2" l="1"/>
  <c r="E37" i="1" s="1"/>
  <c r="D32" i="2"/>
  <c r="D80" i="2"/>
  <c r="D48" i="2" l="1"/>
  <c r="L48" i="2" s="1"/>
  <c r="G37" i="1" s="1"/>
  <c r="D64" i="2"/>
  <c r="L64" i="2" s="1"/>
  <c r="H37" i="1" s="1"/>
  <c r="D96" i="2"/>
  <c r="L96" i="2" s="1"/>
  <c r="J37" i="1" s="1"/>
  <c r="E38" i="1"/>
  <c r="L80" i="2"/>
  <c r="I37" i="1" s="1"/>
  <c r="I38" i="1"/>
  <c r="F38" i="1"/>
  <c r="L32" i="2"/>
  <c r="F37" i="1" s="1"/>
  <c r="J38" i="1" l="1"/>
  <c r="H38" i="1"/>
  <c r="G38" i="1"/>
</calcChain>
</file>

<file path=xl/comments1.xml><?xml version="1.0" encoding="utf-8"?>
<comments xmlns="http://schemas.openxmlformats.org/spreadsheetml/2006/main">
  <authors>
    <author>Liz Grainger</author>
  </authors>
  <commentList>
    <comment ref="B81" authorId="0">
      <text>
        <r>
          <rPr>
            <b/>
            <sz val="9"/>
            <color indexed="81"/>
            <rFont val="Tahoma"/>
            <family val="2"/>
          </rPr>
          <t>Liz Grainger:</t>
        </r>
        <r>
          <rPr>
            <sz val="9"/>
            <color indexed="81"/>
            <rFont val="Tahoma"/>
            <family val="2"/>
          </rPr>
          <t xml:space="preserve">
I think this needs to clarified as this is sometimes not understood and, again focuses the mind back on the lead-time for benefit delivery</t>
        </r>
      </text>
    </comment>
  </commentList>
</comments>
</file>

<file path=xl/sharedStrings.xml><?xml version="1.0" encoding="utf-8"?>
<sst xmlns="http://schemas.openxmlformats.org/spreadsheetml/2006/main" count="296" uniqueCount="193">
  <si>
    <t>Initial Workshop:</t>
  </si>
  <si>
    <t>Version No.:</t>
  </si>
  <si>
    <t>Last Modified by:</t>
  </si>
  <si>
    <t>Option 1</t>
  </si>
  <si>
    <t>Option 2</t>
  </si>
  <si>
    <t>Option 3</t>
  </si>
  <si>
    <t>Option 4</t>
  </si>
  <si>
    <t>Option 5</t>
  </si>
  <si>
    <t>Option 6</t>
  </si>
  <si>
    <t>Benefit 1</t>
  </si>
  <si>
    <t>Benefit 2</t>
  </si>
  <si>
    <t>Benefit 3</t>
  </si>
  <si>
    <t>Total</t>
  </si>
  <si>
    <t>NOTES</t>
  </si>
  <si>
    <t>Percentage of full benefit to be delivered</t>
  </si>
  <si>
    <t>(Range)</t>
  </si>
  <si>
    <t>Ranking</t>
  </si>
  <si>
    <t>Recommendation:</t>
  </si>
  <si>
    <t>Notes:</t>
  </si>
  <si>
    <t>Overall Assessment:</t>
  </si>
  <si>
    <t>Benefits</t>
  </si>
  <si>
    <t>Cost</t>
  </si>
  <si>
    <t>&lt;Insert description here&gt;</t>
  </si>
  <si>
    <t>Risk 2</t>
  </si>
  <si>
    <t>$n mil - $n mil</t>
  </si>
  <si>
    <t>$n mil - $n mil pa</t>
  </si>
  <si>
    <t>mm-mm</t>
  </si>
  <si>
    <t>Time</t>
  </si>
  <si>
    <t>&lt;did/mm/yyyy&gt;</t>
  </si>
  <si>
    <t>&lt;e.g. 0.1, 1.0 etc.&gt;</t>
  </si>
  <si>
    <t>&lt;first name surname did/mm/yyyy &gt;</t>
  </si>
  <si>
    <t>a</t>
  </si>
  <si>
    <t>b</t>
  </si>
  <si>
    <t>c</t>
  </si>
  <si>
    <t>d</t>
  </si>
  <si>
    <t>e</t>
  </si>
  <si>
    <t>f</t>
  </si>
  <si>
    <t>g</t>
  </si>
  <si>
    <t>h</t>
  </si>
  <si>
    <t>i</t>
  </si>
  <si>
    <t>j</t>
  </si>
  <si>
    <t>Benefit 4</t>
  </si>
  <si>
    <t>Interventions</t>
  </si>
  <si>
    <t>KPI 1</t>
  </si>
  <si>
    <t>KPI 2</t>
  </si>
  <si>
    <t>Benefit Total</t>
  </si>
  <si>
    <t>KPI Score</t>
  </si>
  <si>
    <t>Interdependencies</t>
  </si>
  <si>
    <t>k</t>
  </si>
  <si>
    <t>l</t>
  </si>
  <si>
    <t xml:space="preserve">Benefit 4 </t>
  </si>
  <si>
    <t xml:space="preserve">Benefit 3 </t>
  </si>
  <si>
    <t>%</t>
  </si>
  <si>
    <t xml:space="preserve">Benefits - % benefit weighting derived from ILM
The value the investment will provide to the organisation or its customers. Benefits are the of successfully responding to the identified problem. 
A benefit is supported by one or more key performance indicators (KPIs).  </t>
  </si>
  <si>
    <t>Risk 3</t>
  </si>
  <si>
    <t>Risk 4</t>
  </si>
  <si>
    <t>Response options</t>
  </si>
  <si>
    <t>Response options should be titled to reflect the underlying strategy.</t>
  </si>
  <si>
    <t>Interdependency 1</t>
  </si>
  <si>
    <t>Interdependency 2</t>
  </si>
  <si>
    <t>Risk and uncertainty</t>
  </si>
  <si>
    <t xml:space="preserve">Risk 1 </t>
  </si>
  <si>
    <t>&lt;Insert description and rating - H,M,L&gt;</t>
  </si>
  <si>
    <t>&lt;Insert description and criticality - H,M,L&gt;</t>
  </si>
  <si>
    <t>&lt;Insert description and impact - H,M,L&gt;</t>
  </si>
  <si>
    <t xml:space="preserve">The range of interventions that could respond to the identified problem and deliver the KPIs for the expected benefits are listed in the left-hand column.  </t>
  </si>
  <si>
    <t>Against the listed interventions a spread of response options are structured to provide genuine alternative approaches to the problem.</t>
  </si>
  <si>
    <t>This is a balance of two factors: the importance of the intervention in delivering the response option, and the likely effort/cost involved.</t>
  </si>
  <si>
    <t>Timeframe - from commencement of funding to date of full benefit delivery (not completion of the investment delivery)</t>
  </si>
  <si>
    <t>Benefit delivery- rank (0-Marginal, 1-Partial, 2-Full) - See Worksheet 2.</t>
  </si>
  <si>
    <t>Dis-benefits - negative impacts that are likely to  occur as a direct consequence of  successfully implementing this option</t>
  </si>
  <si>
    <t>Risk - one to four of the most significant things that might result in the delivery of the the benefits being significantly different from expectations. These should include exogenous factors that may influence the investment's benefit delivery</t>
  </si>
  <si>
    <t>Interdependencies - identify external factors that  need to be in place if an intervention is to be successful</t>
  </si>
  <si>
    <t>Real options workshop - determine whether a real options, or managing uncertainty, analysis workshop is required.</t>
  </si>
  <si>
    <t>Ranking - considering all factors, which response option is the preferred approach to resolving the problem?</t>
  </si>
  <si>
    <t>Overall Assessment - why was the preferred response chosen? Are there any other assessment observations?</t>
  </si>
  <si>
    <t>Recommendation - how should this investment proceed…or not?</t>
  </si>
  <si>
    <t>Capital TEI- range should be sufficiently reliable to provide an order of magnitude for the response</t>
  </si>
  <si>
    <t>Capital total estimated investment (TEI) (range)</t>
  </si>
  <si>
    <t>Net incremental output costs (range)</t>
  </si>
  <si>
    <t>Output costs- output costs  should be identified  as these may substantially differ between responses.  These should be the incremental costs, directly incurred as a result of the investment, net of any expected savings as a result of the investment</t>
  </si>
  <si>
    <t>Disbenefits</t>
  </si>
  <si>
    <t>&lt;…&gt;</t>
  </si>
  <si>
    <t>Disbenefit 1</t>
  </si>
  <si>
    <t>Disbenefit 2</t>
  </si>
  <si>
    <t>Is a real options analysis workshop required? Yes/No/Maybe</t>
  </si>
  <si>
    <t>OPTION 1</t>
  </si>
  <si>
    <t>Title:</t>
  </si>
  <si>
    <t>Description:</t>
  </si>
  <si>
    <t>OPTION 2</t>
  </si>
  <si>
    <t>OPTION 3</t>
  </si>
  <si>
    <t>OPTION 4</t>
  </si>
  <si>
    <t>OPTION 5</t>
  </si>
  <si>
    <t>OPTION 6</t>
  </si>
  <si>
    <t>&lt;Option 6 title&gt;</t>
  </si>
  <si>
    <t>&lt;Option 6 description&gt;</t>
  </si>
  <si>
    <t>Business as usual / Do nothing</t>
  </si>
  <si>
    <t>Weighted 
Benefit Score</t>
  </si>
  <si>
    <t>The shaded boxes indicate which interventions are used in each response and the percentage (%) indicates the relative importance of each specific intervention within the response.  
The total should be 100%.</t>
  </si>
  <si>
    <t>1-6</t>
  </si>
  <si>
    <t>&lt;Intervention 1&gt;</t>
  </si>
  <si>
    <t>&lt;Intervention 2&gt;</t>
  </si>
  <si>
    <t>&lt;Intervention 3&gt;</t>
  </si>
  <si>
    <t>&lt;Intervention 4&gt;</t>
  </si>
  <si>
    <t>Maybe</t>
  </si>
  <si>
    <t>Investor:</t>
  </si>
  <si>
    <t>&lt;first name surname&gt;</t>
  </si>
  <si>
    <t>Facilitator:</t>
  </si>
  <si>
    <t>Department:</t>
  </si>
  <si>
    <t>&lt;department name&gt;</t>
  </si>
  <si>
    <t>This option involves no change to existing practice with minimal maintenance and security upgrades to existing facilities.</t>
  </si>
  <si>
    <t>Undertake essential maintenance and security upgrades only of existing facilities</t>
  </si>
  <si>
    <t>KPI 1
Faster cargo through-put</t>
  </si>
  <si>
    <t>KPI 2
Increased and more diverse cargo</t>
  </si>
  <si>
    <t>KPI 1Improved Port security</t>
  </si>
  <si>
    <t>KPI 2
Reduced frequency of crashes</t>
  </si>
  <si>
    <t>Close port and divert activities to Newtown Port</t>
  </si>
  <si>
    <t>This option focuses on closing the Oldtown Port and diverting all demand to the Newtown Port. Additional capacity both at Newtown Port and along access roads will be built to cater for increased throughput and traffic. While the Oldtown Port will be decommissioned and assets sold the site and infrastructure will still require some maintenance and security improvements.</t>
  </si>
  <si>
    <t>Undertake additional investment at Newtown Port to respond to diverted demand, and decommission and sell  surplus Oldtown Port assets</t>
  </si>
  <si>
    <t>Upgrade and create additional capacity on access roads to Newtown port</t>
  </si>
  <si>
    <t>Focus on traditional bulk commodities at Oldtown Port and divert new industries to Newtown Port</t>
  </si>
  <si>
    <t xml:space="preserve">This option focuses on changing the demand at OldTown Port by diverting freight and commodities associated with new industries to the Newtown Port and making Oldtown Port a specialist bulk commodities Port.  Oldtown Port will require some modernisation and improvements to security operations as well as some targeted improvements to access roads. This option will also  require additional capacity to be built at Newtown Port. </t>
  </si>
  <si>
    <t>Update site security zones, expand surveillance &amp; streamline security operations</t>
  </si>
  <si>
    <t>Implement targeted treatments to road design and signaling and reduce conflict points between freight and commuter vehicles</t>
  </si>
  <si>
    <t>Undertake limited modernisation of port facilities and services to meet existing industry needs</t>
  </si>
  <si>
    <t>Undertake additional investment at Newtown Port to respond to diverted demand, and decommission and sell surplus Oldtown Port assets</t>
  </si>
  <si>
    <t>Expand port operating hours, minimal infrastructure</t>
  </si>
  <si>
    <t>This option focuses on improving the productivity of the Oldtown Port. It aims to increase utilisation of the Port infrastructure and services through expanded resources and operating hours. This will require a significant upgrade to security operations. Investment in access improvements and road design will make freight throughput  safer and journey times more reliable.</t>
  </si>
  <si>
    <t>Improve land side access for port users &amp; separate freight and commuter traffic</t>
  </si>
  <si>
    <t>Apply additional resources (staff &amp; outsourced services)  to support expanded operating hours</t>
  </si>
  <si>
    <t>Build capacity for future growth in demand</t>
  </si>
  <si>
    <t>This option focuses on  expanding capacity of Oldtown Port  and building new infrastructure to manage forecast demand and growth. Port facilities will be modernised, road access improved considerably and a major upgrade to security capacity and operations across the expanded Port site and perimeter.</t>
  </si>
  <si>
    <t>Achieve better alignment between port capacity &amp; forecast demand</t>
  </si>
  <si>
    <t>Modernise port facilities &amp; services to meet current  &amp; projected user needs</t>
  </si>
  <si>
    <t>Improve landside access for port users &amp; separate freight and commuter traffic</t>
  </si>
  <si>
    <t>Delivering customer-focused, efficient and secure port services</t>
  </si>
  <si>
    <t>Upgrade and expansion of Oldtown Port</t>
  </si>
  <si>
    <t>More efficient and customer-focused port services</t>
  </si>
  <si>
    <t>Safer and more secure port operations</t>
  </si>
  <si>
    <t>Serious road accident involving fatalit(ies) (H)</t>
  </si>
  <si>
    <t>Decommissioning &amp; sale of existing port assets do not meet financial objectives (M)</t>
  </si>
  <si>
    <t>Insufficient staff skills &amp; resources available (M)</t>
  </si>
  <si>
    <t>Appropriate zoning for port-expansion  land not obtained (H)</t>
  </si>
  <si>
    <t>Breach of maritime regulations &amp; loss of port status (M)</t>
  </si>
  <si>
    <t>Efficiency savings for customers eliminated by additional freight costs to Newtown (H)</t>
  </si>
  <si>
    <t>Efficiency savings for new industry customers eliminated by additional freight costs to Newtown (H)</t>
  </si>
  <si>
    <t xml:space="preserve">Mismatch of demand &amp; resource allocation leads to inefficient and expensive operations (M) </t>
  </si>
  <si>
    <t>Insufficient flexibility built into upgrades to warehousing and infrastructure  to respond to volatility in future demand  &amp; industry shifts  (H)</t>
  </si>
  <si>
    <t>Local economic growth, &amp; its diversity, constrained (H)</t>
  </si>
  <si>
    <t>Diversity of local economy constrained leading to longer-term adjustment costs &amp; adverse social impacts (H)</t>
  </si>
  <si>
    <t>Dissatisfied new industry customers relocate to interstate ports or use other freight methods (M)</t>
  </si>
  <si>
    <t>Without capital investment, port services become less competitive over time &amp; less viable (H)</t>
  </si>
  <si>
    <t>Timing and locational uncertainties relating to Government's long-term requirements for a new, additional commercial port in the state impact the future  demand for Oldtown port services (H)</t>
  </si>
  <si>
    <t>Serious loss or damage to cargo or other assets, leading to customer loss (H)</t>
  </si>
  <si>
    <t>Scope of change and transition underestimated leading to cost &amp; time overruns (M)</t>
  </si>
  <si>
    <t>Unexpected variability  in global demand for traditional commodities impacts costs and  revenue from Oldtown port  and performance of Newtown port (H)</t>
  </si>
  <si>
    <t>Impacts of climate change on physical infrastructure results in frequent system failures and compromises capacity of the port (H)</t>
  </si>
  <si>
    <t>Delays and costs to local importers and exporters unrelieved (H)</t>
  </si>
  <si>
    <t>Higher local unemployment in short to medium term (M)</t>
  </si>
  <si>
    <t>Port operations lack diversity in customer base (H)</t>
  </si>
  <si>
    <t>Adverse environmental  &amp; amenity impact of 24/7 road traffic (M)</t>
  </si>
  <si>
    <t>Long-term growth of Newtown Port constrained (M)</t>
  </si>
  <si>
    <t>Government incurs  costs of managing old site in short to medium term (M)</t>
  </si>
  <si>
    <t>No capacity to scale up in future (H)</t>
  </si>
  <si>
    <t>Increased maintenance and asset liability for port enterprise (M)</t>
  </si>
  <si>
    <t>Sufficient capacity at Newtown Port</t>
  </si>
  <si>
    <t>Industrial agreements can be negotiated at cost-effective levels</t>
  </si>
  <si>
    <t>State economic &amp; transport policy</t>
  </si>
  <si>
    <t>Willingness of port customers to relocate and change  operations</t>
  </si>
  <si>
    <t>State agribusiness policy &amp; strategy</t>
  </si>
  <si>
    <t>Willingness of port customers to adjust schedules and operations</t>
  </si>
  <si>
    <t xml:space="preserve">Continued growth in freight volumes as modelled </t>
  </si>
  <si>
    <t>No</t>
  </si>
  <si>
    <t>Yes</t>
  </si>
  <si>
    <t>$2-3 mil</t>
  </si>
  <si>
    <t>$500-600 mil</t>
  </si>
  <si>
    <t>$150-200 mil</t>
  </si>
  <si>
    <t>$10-20 mil</t>
  </si>
  <si>
    <t>$100-150 mil</t>
  </si>
  <si>
    <t>$0.5-1 mil</t>
  </si>
  <si>
    <t>$0 mil</t>
  </si>
  <si>
    <t>$5-10 mil</t>
  </si>
  <si>
    <t>0-12 mm</t>
  </si>
  <si>
    <t>60-84 mm</t>
  </si>
  <si>
    <t>12-72 mm</t>
  </si>
  <si>
    <t>12-24 mm</t>
  </si>
  <si>
    <t>12-48 mm</t>
  </si>
  <si>
    <t>Option 1 is the 'business as usual' approach with a modest amount of additional resources being applied to essential security and safety upgrades but no other improvements in services or capacity.  This has low benefit delivery and fails to respond to immediate demand, security and economic growth imperatives. It largely defers a more substantive decision to further down the track. Option 2 represents a substantial change in the port provision in the region by consolidating all services in one location. This option has relatively high benefit delivery but would be costly and timely to implement and has uncertain wider economic impacts. Option 3 focuses on creating 'specialised' ports for the region which  has strong benefit delivery but may limit longer term flexibility and economic diversity in the region and for the ports' longer term operating model. Option 4 is a relatively short-term tactical response which is relatively cheap and speedy to implement.  In common with Option 1, it effectively defers a more long-term decision on the port's future whilst eroding its asset base and competitiveness. This option has lower benefit delivery than Options 2 and 3. Option 5 focuses on upgrading and expanding current capacity to meet expected demand without a fundamental change in the overall port provision in the eastern region. This option provides strong benefit delivery and represents good value for money with a manageable risk profile. However, the scale of investment and the risks and uncertainty around the demand and timing of a second container port means that a real options analysis is required.</t>
  </si>
  <si>
    <t>Option 5 is the preferred option - it has strong benefit delivery and the risk profile can be managed. It is recommended that this option be developed through a full business case.  Oldtown port is, however, operating in an environment of some uncertainty particularly in respect of the impact of climate change on agricultural production in the region and uncertainty associated with the timing of a second container port. As a result, it is recommended that a real options analysis workshop occurs during the business case development. Options 2 and 3 are not without merit and more detailed analysis of these options should be undertaken. Either  may become viable if  key assumptions and estimations for Option 5 cannot be validated during business case development.</t>
  </si>
  <si>
    <t>Instructions for creating Response Options Analysis Report (Word)</t>
  </si>
  <si>
    <t>Complete KPI intervention assess and then select Copy Interventions function under ROA Report</t>
  </si>
  <si>
    <t>Complete risk and uncertainty, disbenefit, interdependencies, cost, timeframe, ranking and overall assessment and recommendation fields (after relveant workshops)</t>
  </si>
  <si>
    <t>Save and select Create Report function to generate Word Report of Response Options Analysis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</si>
</sst>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0%"/>
  </numFmts>
  <fonts count="24" x14ac:knownFonts="1">
    <font>
      <sz val="10"/>
      <color theme="1"/>
      <name val="Arial"/>
      <family val="2"/>
    </font>
    <font>
      <sz val="10"/>
      <color theme="1"/>
      <name val="Arial"/>
      <family val="2"/>
    </font>
    <font>
      <b/>
      <sz val="11"/>
      <color indexed="8"/>
      <name val="Calibri"/>
      <family val="2"/>
      <scheme val="minor"/>
    </font>
    <font>
      <sz val="10"/>
      <color theme="1"/>
      <name val="Calibri"/>
      <family val="2"/>
      <scheme val="minor"/>
    </font>
    <font>
      <sz val="8"/>
      <name val="Calibri"/>
      <family val="2"/>
      <scheme val="minor"/>
    </font>
    <font>
      <sz val="12"/>
      <color rgb="FF1665A1"/>
      <name val="Calibri"/>
      <family val="2"/>
      <scheme val="minor"/>
    </font>
    <font>
      <b/>
      <sz val="8"/>
      <color rgb="FF1665A1"/>
      <name val="Calibri"/>
      <family val="2"/>
      <scheme val="minor"/>
    </font>
    <font>
      <b/>
      <sz val="10"/>
      <color indexed="8"/>
      <name val="Calibri"/>
      <family val="2"/>
      <scheme val="minor"/>
    </font>
    <font>
      <sz val="10"/>
      <color indexed="8"/>
      <name val="Calibri"/>
      <family val="2"/>
      <scheme val="minor"/>
    </font>
    <font>
      <sz val="10"/>
      <color indexed="30"/>
      <name val="Calibri"/>
      <family val="2"/>
      <scheme val="minor"/>
    </font>
    <font>
      <sz val="10"/>
      <name val="Calibri"/>
      <family val="2"/>
      <scheme val="minor"/>
    </font>
    <font>
      <b/>
      <sz val="10"/>
      <name val="Calibri"/>
      <family val="2"/>
      <scheme val="minor"/>
    </font>
    <font>
      <sz val="16"/>
      <color rgb="FF1665A1"/>
      <name val="Calibri"/>
      <family val="2"/>
      <scheme val="minor"/>
    </font>
    <font>
      <b/>
      <sz val="12"/>
      <color indexed="8"/>
      <name val="Calibri"/>
      <family val="2"/>
      <scheme val="minor"/>
    </font>
    <font>
      <sz val="12"/>
      <color theme="1"/>
      <name val="Calibri"/>
      <family val="2"/>
      <scheme val="minor"/>
    </font>
    <font>
      <b/>
      <i/>
      <sz val="12"/>
      <color indexed="30"/>
      <name val="Calibri"/>
      <family val="2"/>
      <scheme val="minor"/>
    </font>
    <font>
      <b/>
      <sz val="12"/>
      <name val="Calibri"/>
      <family val="2"/>
      <scheme val="minor"/>
    </font>
    <font>
      <b/>
      <sz val="12"/>
      <color rgb="FF1665A1"/>
      <name val="Calibri"/>
      <family val="2"/>
      <scheme val="minor"/>
    </font>
    <font>
      <b/>
      <sz val="10"/>
      <color theme="1"/>
      <name val="Calibri"/>
      <family val="2"/>
      <scheme val="minor"/>
    </font>
    <font>
      <sz val="10"/>
      <color rgb="FFFF0000"/>
      <name val="Calibri"/>
      <family val="2"/>
      <scheme val="minor"/>
    </font>
    <font>
      <sz val="9"/>
      <color indexed="81"/>
      <name val="Tahoma"/>
      <family val="2"/>
    </font>
    <font>
      <b/>
      <sz val="9"/>
      <color indexed="81"/>
      <name val="Tahoma"/>
      <family val="2"/>
    </font>
    <font>
      <b/>
      <sz val="10"/>
      <color rgb="FF1665A1"/>
      <name val="Calibri"/>
      <family val="2"/>
      <scheme val="minor"/>
    </font>
    <font>
      <sz val="12"/>
      <color theme="1"/>
      <name val="Arial"/>
      <family val="2"/>
    </font>
  </fonts>
  <fills count="10">
    <fill>
      <patternFill patternType="none"/>
    </fill>
    <fill>
      <patternFill patternType="gray125"/>
    </fill>
    <fill>
      <patternFill patternType="solid">
        <fgColor indexed="9"/>
        <bgColor indexed="64"/>
      </patternFill>
    </fill>
    <fill>
      <patternFill patternType="solid">
        <fgColor rgb="FFC4DFF6"/>
        <bgColor indexed="64"/>
      </patternFill>
    </fill>
    <fill>
      <patternFill patternType="solid">
        <fgColor theme="0" tint="-0.14999847407452621"/>
        <bgColor indexed="64"/>
      </patternFill>
    </fill>
    <fill>
      <patternFill patternType="solid">
        <fgColor theme="0"/>
        <bgColor indexed="64"/>
      </patternFill>
    </fill>
    <fill>
      <patternFill patternType="solid">
        <fgColor theme="0"/>
        <bgColor auto="1"/>
      </patternFill>
    </fill>
    <fill>
      <patternFill patternType="solid">
        <fgColor theme="3" tint="0.79998168889431442"/>
        <bgColor indexed="64"/>
      </patternFill>
    </fill>
    <fill>
      <patternFill patternType="solid">
        <fgColor theme="0" tint="-0.14996795556505021"/>
        <bgColor indexed="64"/>
      </patternFill>
    </fill>
    <fill>
      <patternFill patternType="solid">
        <fgColor theme="0" tint="-0.24994659260841701"/>
        <bgColor indexed="64"/>
      </patternFill>
    </fill>
  </fills>
  <borders count="1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style="thin">
        <color theme="0" tint="-0.499984740745262"/>
      </right>
      <top/>
      <bottom style="thin">
        <color theme="0" tint="-0.499984740745262"/>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bottom/>
      <diagonal/>
    </border>
    <border>
      <left/>
      <right/>
      <top style="thin">
        <color theme="0" tint="-0.249977111117893"/>
      </top>
      <bottom/>
      <diagonal/>
    </border>
    <border>
      <left/>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medium">
        <color theme="3"/>
      </top>
      <bottom/>
      <diagonal/>
    </border>
    <border>
      <left/>
      <right/>
      <top style="medium">
        <color rgb="FF1665A1"/>
      </top>
      <bottom/>
      <diagonal/>
    </border>
    <border>
      <left/>
      <right style="thin">
        <color theme="0" tint="-0.499984740745262"/>
      </right>
      <top style="thin">
        <color theme="0" tint="-0.249977111117893"/>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06">
    <xf numFmtId="0" fontId="0" fillId="0" borderId="0" xfId="0"/>
    <xf numFmtId="0" fontId="2" fillId="2" borderId="1" xfId="0" applyFont="1" applyFill="1" applyBorder="1" applyAlignment="1" applyProtection="1">
      <alignment horizontal="center" vertical="top" wrapText="1"/>
      <protection locked="0"/>
    </xf>
    <xf numFmtId="0" fontId="8" fillId="4" borderId="0" xfId="0" applyFont="1" applyFill="1" applyAlignment="1" applyProtection="1">
      <alignment vertical="top" wrapText="1"/>
      <protection locked="0"/>
    </xf>
    <xf numFmtId="0" fontId="3" fillId="4" borderId="0" xfId="0" applyFont="1" applyFill="1" applyAlignment="1" applyProtection="1">
      <alignment vertical="top" wrapText="1"/>
      <protection locked="0"/>
    </xf>
    <xf numFmtId="0" fontId="8" fillId="4" borderId="0" xfId="0" applyFont="1" applyFill="1" applyAlignment="1" applyProtection="1">
      <alignment horizontal="left" vertical="top" wrapText="1"/>
      <protection locked="0"/>
    </xf>
    <xf numFmtId="0" fontId="5" fillId="4" borderId="0" xfId="0" applyFont="1" applyFill="1" applyAlignment="1" applyProtection="1">
      <alignment vertical="top" wrapText="1"/>
      <protection locked="0"/>
    </xf>
    <xf numFmtId="0" fontId="11" fillId="4" borderId="0" xfId="0" applyFont="1" applyFill="1" applyAlignment="1" applyProtection="1">
      <alignment horizontal="left" vertical="top" wrapText="1"/>
      <protection locked="0"/>
    </xf>
    <xf numFmtId="49" fontId="10" fillId="4" borderId="0" xfId="0" applyNumberFormat="1"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9" fontId="3" fillId="4" borderId="0" xfId="2" applyFont="1" applyFill="1" applyAlignment="1" applyProtection="1">
      <alignment horizontal="right" vertical="top" wrapText="1"/>
      <protection locked="0"/>
    </xf>
    <xf numFmtId="0" fontId="8" fillId="3" borderId="0" xfId="0" applyFont="1" applyFill="1" applyAlignment="1" applyProtection="1">
      <alignment vertical="top" wrapText="1"/>
      <protection locked="0"/>
    </xf>
    <xf numFmtId="0" fontId="4" fillId="3" borderId="0" xfId="0" applyFont="1" applyFill="1" applyAlignment="1" applyProtection="1">
      <alignment horizontal="right" vertical="top" wrapText="1"/>
      <protection locked="0"/>
    </xf>
    <xf numFmtId="0" fontId="6" fillId="3" borderId="0" xfId="0" applyFont="1" applyFill="1" applyAlignment="1" applyProtection="1">
      <alignment horizontal="left" vertical="top" wrapText="1"/>
      <protection locked="0"/>
    </xf>
    <xf numFmtId="14" fontId="6" fillId="3" borderId="0" xfId="0" applyNumberFormat="1" applyFont="1" applyFill="1" applyAlignment="1" applyProtection="1">
      <alignment horizontal="left" vertical="top" wrapText="1"/>
      <protection locked="0"/>
    </xf>
    <xf numFmtId="0" fontId="8" fillId="3" borderId="0" xfId="0" applyFont="1" applyFill="1" applyAlignment="1" applyProtection="1">
      <alignment horizontal="left" vertical="top" wrapText="1"/>
      <protection locked="0"/>
    </xf>
    <xf numFmtId="0" fontId="7" fillId="3" borderId="0" xfId="0" applyFont="1" applyFill="1" applyAlignment="1" applyProtection="1">
      <alignment vertical="top" wrapText="1"/>
      <protection locked="0"/>
    </xf>
    <xf numFmtId="0" fontId="9" fillId="3" borderId="0" xfId="0" applyFont="1" applyFill="1" applyAlignment="1" applyProtection="1">
      <alignment horizontal="left" vertical="top" wrapText="1"/>
      <protection locked="0"/>
    </xf>
    <xf numFmtId="0" fontId="9" fillId="3" borderId="0" xfId="0" applyFont="1" applyFill="1" applyAlignment="1" applyProtection="1">
      <alignment horizontal="right" vertical="top" wrapText="1"/>
      <protection locked="0"/>
    </xf>
    <xf numFmtId="0" fontId="14" fillId="4" borderId="0" xfId="0" applyFont="1" applyFill="1" applyAlignment="1" applyProtection="1">
      <alignment vertical="top" wrapText="1"/>
      <protection locked="0"/>
    </xf>
    <xf numFmtId="0" fontId="13" fillId="2" borderId="1" xfId="0" applyFont="1" applyFill="1" applyBorder="1" applyAlignment="1" applyProtection="1">
      <alignment horizontal="center" vertical="top" wrapText="1"/>
      <protection locked="0"/>
    </xf>
    <xf numFmtId="9" fontId="10" fillId="2" borderId="1" xfId="2" applyFont="1" applyFill="1" applyBorder="1" applyAlignment="1" applyProtection="1">
      <alignment horizontal="right" vertical="top" wrapText="1"/>
      <protection locked="0"/>
    </xf>
    <xf numFmtId="0" fontId="17" fillId="4" borderId="0" xfId="0" applyFont="1" applyFill="1" applyAlignment="1" applyProtection="1">
      <alignment vertical="top" wrapText="1"/>
      <protection locked="0"/>
    </xf>
    <xf numFmtId="49" fontId="10" fillId="2" borderId="1" xfId="1" applyNumberFormat="1" applyFont="1" applyFill="1" applyBorder="1" applyAlignment="1" applyProtection="1">
      <alignment horizontal="center" vertical="top" wrapText="1"/>
      <protection locked="0"/>
    </xf>
    <xf numFmtId="49" fontId="10" fillId="0" borderId="1" xfId="1" applyNumberFormat="1" applyFont="1" applyFill="1" applyBorder="1" applyAlignment="1" applyProtection="1">
      <alignment horizontal="center" vertical="top" wrapText="1"/>
      <protection locked="0"/>
    </xf>
    <xf numFmtId="1" fontId="16" fillId="2" borderId="1" xfId="1" applyNumberFormat="1" applyFont="1" applyFill="1" applyBorder="1" applyAlignment="1" applyProtection="1">
      <alignment horizontal="center" vertical="top" wrapText="1"/>
      <protection locked="0"/>
    </xf>
    <xf numFmtId="1" fontId="16" fillId="4" borderId="0" xfId="1" applyNumberFormat="1" applyFont="1" applyFill="1" applyBorder="1" applyAlignment="1" applyProtection="1">
      <alignment horizontal="center" vertical="top" wrapText="1"/>
      <protection locked="0"/>
    </xf>
    <xf numFmtId="0" fontId="10" fillId="2" borderId="5" xfId="0" applyFont="1" applyFill="1" applyBorder="1" applyAlignment="1" applyProtection="1">
      <alignment horizontal="left" vertical="top" wrapText="1"/>
      <protection locked="0"/>
    </xf>
    <xf numFmtId="0" fontId="18" fillId="4" borderId="0" xfId="0" applyFont="1" applyFill="1" applyAlignment="1" applyProtection="1">
      <alignment vertical="top" wrapText="1"/>
      <protection locked="0"/>
    </xf>
    <xf numFmtId="0" fontId="10" fillId="2" borderId="5" xfId="0" applyFont="1" applyFill="1" applyBorder="1" applyAlignment="1" applyProtection="1">
      <alignment horizontal="left" vertical="top" wrapText="1"/>
      <protection locked="0"/>
    </xf>
    <xf numFmtId="0" fontId="8" fillId="4" borderId="0" xfId="0" applyFont="1" applyFill="1" applyBorder="1" applyAlignment="1" applyProtection="1">
      <alignment horizontal="left" vertical="top" wrapText="1"/>
      <protection locked="0"/>
    </xf>
    <xf numFmtId="0" fontId="8" fillId="4" borderId="0" xfId="0" applyFont="1" applyFill="1" applyAlignment="1" applyProtection="1">
      <alignment vertical="top" wrapText="1"/>
      <protection locked="0"/>
    </xf>
    <xf numFmtId="9" fontId="2" fillId="2" borderId="1" xfId="0" applyNumberFormat="1" applyFont="1" applyFill="1" applyBorder="1" applyAlignment="1" applyProtection="1">
      <alignment horizontal="center" vertical="top" wrapText="1"/>
      <protection locked="0"/>
    </xf>
    <xf numFmtId="1" fontId="16" fillId="4" borderId="1" xfId="1" applyNumberFormat="1" applyFont="1" applyFill="1" applyBorder="1" applyAlignment="1" applyProtection="1">
      <alignment horizontal="center" vertical="top" wrapText="1"/>
      <protection locked="0"/>
    </xf>
    <xf numFmtId="0" fontId="19" fillId="4" borderId="0" xfId="0" applyFont="1" applyFill="1" applyBorder="1" applyAlignment="1" applyProtection="1">
      <alignment horizontal="left" vertical="top" wrapText="1"/>
      <protection locked="0"/>
    </xf>
    <xf numFmtId="0" fontId="8" fillId="2" borderId="1" xfId="0" applyFont="1" applyFill="1" applyBorder="1" applyAlignment="1" applyProtection="1">
      <alignment horizontal="center" vertical="top" wrapText="1"/>
      <protection locked="0"/>
    </xf>
    <xf numFmtId="165" fontId="13" fillId="2" borderId="6" xfId="2" applyNumberFormat="1" applyFont="1" applyFill="1" applyBorder="1" applyAlignment="1" applyProtection="1">
      <alignment horizontal="center" vertical="top" wrapText="1"/>
    </xf>
    <xf numFmtId="165" fontId="10" fillId="2" borderId="1" xfId="1" applyNumberFormat="1" applyFont="1" applyFill="1" applyBorder="1" applyAlignment="1" applyProtection="1">
      <alignment horizontal="center" vertical="top" wrapText="1"/>
    </xf>
    <xf numFmtId="0" fontId="8" fillId="4" borderId="0" xfId="0" applyFont="1" applyFill="1" applyAlignment="1" applyProtection="1">
      <alignment vertical="top" wrapText="1"/>
      <protection locked="0"/>
    </xf>
    <xf numFmtId="0" fontId="8" fillId="4" borderId="0" xfId="0" applyFont="1" applyFill="1" applyAlignment="1" applyProtection="1">
      <alignment vertical="top" wrapText="1"/>
      <protection locked="0"/>
    </xf>
    <xf numFmtId="0" fontId="10" fillId="7" borderId="10" xfId="0" applyFont="1" applyFill="1" applyBorder="1" applyAlignment="1" applyProtection="1">
      <alignment horizontal="left" vertical="top" wrapText="1"/>
      <protection locked="0"/>
    </xf>
    <xf numFmtId="0" fontId="10" fillId="7" borderId="9" xfId="0" applyFont="1" applyFill="1" applyBorder="1" applyAlignment="1" applyProtection="1">
      <alignment horizontal="left" vertical="top" wrapText="1"/>
      <protection locked="0"/>
    </xf>
    <xf numFmtId="49" fontId="10" fillId="7" borderId="9" xfId="1" applyNumberFormat="1" applyFont="1" applyFill="1" applyBorder="1" applyAlignment="1" applyProtection="1">
      <alignment horizontal="center" vertical="top" wrapText="1"/>
      <protection locked="0"/>
    </xf>
    <xf numFmtId="49" fontId="10" fillId="7" borderId="11" xfId="1" applyNumberFormat="1" applyFont="1" applyFill="1" applyBorder="1" applyAlignment="1" applyProtection="1">
      <alignment horizontal="center" vertical="top" wrapText="1"/>
      <protection locked="0"/>
    </xf>
    <xf numFmtId="0" fontId="17" fillId="2" borderId="3" xfId="0" applyFont="1" applyFill="1" applyBorder="1" applyAlignment="1" applyProtection="1">
      <alignment vertical="top" wrapText="1"/>
      <protection locked="0"/>
    </xf>
    <xf numFmtId="0" fontId="8" fillId="4" borderId="0" xfId="0" applyFont="1" applyFill="1" applyAlignment="1" applyProtection="1">
      <alignment vertical="top" wrapText="1"/>
      <protection locked="0"/>
    </xf>
    <xf numFmtId="0" fontId="17" fillId="0" borderId="0" xfId="0" applyFont="1" applyFill="1" applyBorder="1" applyAlignment="1" applyProtection="1">
      <alignment horizontal="left" vertical="top"/>
      <protection locked="0"/>
    </xf>
    <xf numFmtId="0" fontId="17" fillId="0" borderId="0"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protection locked="0"/>
    </xf>
    <xf numFmtId="0" fontId="17" fillId="0" borderId="0" xfId="0" applyFont="1" applyFill="1" applyBorder="1" applyAlignment="1" applyProtection="1">
      <alignment vertical="top" wrapText="1"/>
      <protection locked="0"/>
    </xf>
    <xf numFmtId="0" fontId="17" fillId="0" borderId="0" xfId="0" applyFont="1" applyFill="1" applyBorder="1" applyAlignment="1" applyProtection="1">
      <alignment horizontal="center" vertical="top"/>
      <protection locked="0"/>
    </xf>
    <xf numFmtId="0" fontId="15" fillId="0" borderId="9" xfId="0" applyFont="1" applyFill="1" applyBorder="1" applyAlignment="1" applyProtection="1">
      <alignment horizontal="left" vertical="top"/>
      <protection locked="0"/>
    </xf>
    <xf numFmtId="0" fontId="17" fillId="0" borderId="0" xfId="0" applyFont="1" applyFill="1" applyAlignment="1" applyProtection="1">
      <alignment horizontal="left" vertical="top"/>
      <protection locked="0"/>
    </xf>
    <xf numFmtId="9" fontId="17" fillId="0" borderId="0" xfId="0" applyNumberFormat="1" applyFont="1" applyFill="1" applyAlignment="1" applyProtection="1">
      <alignment horizontal="center" vertical="top"/>
      <protection locked="0"/>
    </xf>
    <xf numFmtId="0" fontId="17" fillId="0" borderId="0" xfId="0" applyFont="1" applyFill="1" applyBorder="1" applyAlignment="1" applyProtection="1">
      <alignment vertical="top"/>
      <protection locked="0"/>
    </xf>
    <xf numFmtId="9" fontId="17" fillId="0" borderId="0" xfId="0" applyNumberFormat="1" applyFont="1" applyFill="1" applyBorder="1" applyAlignment="1" applyProtection="1">
      <alignment horizontal="center" vertical="top"/>
      <protection locked="0"/>
    </xf>
    <xf numFmtId="0" fontId="15" fillId="0" borderId="11" xfId="0" applyFont="1" applyFill="1" applyBorder="1" applyAlignment="1" applyProtection="1">
      <alignment horizontal="left" vertical="top"/>
      <protection locked="0"/>
    </xf>
    <xf numFmtId="0" fontId="17" fillId="0" borderId="0" xfId="0" applyFont="1" applyFill="1" applyAlignment="1" applyProtection="1">
      <alignment vertical="top"/>
      <protection locked="0"/>
    </xf>
    <xf numFmtId="165" fontId="17" fillId="0" borderId="0" xfId="0" applyNumberFormat="1" applyFont="1" applyFill="1" applyBorder="1" applyAlignment="1" applyProtection="1">
      <alignment vertical="top"/>
      <protection locked="0"/>
    </xf>
    <xf numFmtId="0" fontId="5" fillId="0" borderId="0" xfId="0" applyFont="1" applyFill="1" applyBorder="1" applyAlignment="1" applyProtection="1">
      <alignment horizontal="left" vertical="top"/>
      <protection locked="0"/>
    </xf>
    <xf numFmtId="0" fontId="17" fillId="0" borderId="12" xfId="0" applyFont="1" applyFill="1" applyBorder="1" applyAlignment="1" applyProtection="1">
      <alignment horizontal="left" vertical="top"/>
      <protection locked="0"/>
    </xf>
    <xf numFmtId="0" fontId="17" fillId="0" borderId="12" xfId="0" applyFont="1" applyFill="1" applyBorder="1" applyAlignment="1" applyProtection="1">
      <alignment horizontal="left" vertical="top" wrapText="1"/>
      <protection locked="0"/>
    </xf>
    <xf numFmtId="0" fontId="17" fillId="0" borderId="13" xfId="0" applyFont="1" applyFill="1" applyBorder="1" applyAlignment="1" applyProtection="1">
      <alignment horizontal="left" vertical="top"/>
      <protection locked="0"/>
    </xf>
    <xf numFmtId="0" fontId="17" fillId="0" borderId="13" xfId="0" applyFont="1" applyFill="1" applyBorder="1" applyAlignment="1" applyProtection="1">
      <alignment horizontal="left" vertical="top" wrapText="1"/>
      <protection locked="0"/>
    </xf>
    <xf numFmtId="0" fontId="8" fillId="2" borderId="1" xfId="0" applyNumberFormat="1" applyFont="1" applyFill="1" applyBorder="1" applyAlignment="1" applyProtection="1">
      <alignment horizontal="center" vertical="top" wrapText="1"/>
      <protection locked="0"/>
    </xf>
    <xf numFmtId="49" fontId="5" fillId="0" borderId="0" xfId="0" applyNumberFormat="1" applyFont="1" applyFill="1" applyBorder="1" applyAlignment="1" applyProtection="1">
      <alignment horizontal="left" vertical="top"/>
      <protection locked="0"/>
    </xf>
    <xf numFmtId="0" fontId="8" fillId="0" borderId="0" xfId="0" applyFont="1" applyFill="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8" borderId="0" xfId="0" applyFont="1" applyFill="1" applyAlignment="1" applyProtection="1">
      <alignment vertical="top" wrapText="1"/>
      <protection locked="0"/>
    </xf>
    <xf numFmtId="0" fontId="8" fillId="8" borderId="0" xfId="0" applyFont="1" applyFill="1" applyBorder="1" applyAlignment="1" applyProtection="1">
      <alignment vertical="top" wrapText="1"/>
      <protection locked="0"/>
    </xf>
    <xf numFmtId="0" fontId="8" fillId="8" borderId="0" xfId="0" applyFont="1" applyFill="1" applyAlignment="1" applyProtection="1">
      <alignment vertical="top" wrapText="1"/>
      <protection locked="0"/>
    </xf>
    <xf numFmtId="0" fontId="7" fillId="8" borderId="0" xfId="0" applyFont="1" applyFill="1" applyBorder="1" applyAlignment="1" applyProtection="1">
      <alignment vertical="top" wrapText="1"/>
      <protection locked="0"/>
    </xf>
    <xf numFmtId="0" fontId="17" fillId="8" borderId="0" xfId="0" applyFont="1" applyFill="1" applyBorder="1" applyAlignment="1" applyProtection="1">
      <alignment horizontal="left" vertical="top"/>
      <protection locked="0"/>
    </xf>
    <xf numFmtId="0" fontId="7" fillId="8" borderId="0" xfId="0" applyFont="1" applyFill="1" applyBorder="1" applyAlignment="1" applyProtection="1">
      <alignment vertical="top"/>
      <protection locked="0"/>
    </xf>
    <xf numFmtId="0" fontId="0" fillId="8" borderId="0" xfId="0" applyFill="1" applyBorder="1" applyAlignment="1">
      <alignment vertical="top"/>
    </xf>
    <xf numFmtId="9" fontId="13" fillId="4" borderId="2" xfId="2" applyFont="1" applyFill="1" applyBorder="1" applyAlignment="1" applyProtection="1">
      <alignment horizontal="center" vertical="center" wrapText="1"/>
      <protection locked="0"/>
    </xf>
    <xf numFmtId="9" fontId="10" fillId="2" borderId="1" xfId="0" applyNumberFormat="1" applyFont="1" applyFill="1" applyBorder="1" applyAlignment="1" applyProtection="1">
      <alignment horizontal="center" vertical="top" wrapText="1"/>
      <protection locked="0"/>
    </xf>
    <xf numFmtId="9" fontId="17" fillId="2" borderId="1" xfId="0" applyNumberFormat="1" applyFont="1" applyFill="1" applyBorder="1" applyAlignment="1" applyProtection="1">
      <alignment horizontal="center" vertical="top" wrapText="1"/>
      <protection locked="0"/>
    </xf>
    <xf numFmtId="0" fontId="11" fillId="8" borderId="0" xfId="0" applyFont="1" applyFill="1" applyBorder="1" applyAlignment="1" applyProtection="1">
      <alignment horizontal="right" vertical="top" wrapText="1"/>
      <protection locked="0"/>
    </xf>
    <xf numFmtId="0" fontId="3" fillId="4" borderId="0" xfId="0" applyFont="1" applyFill="1" applyAlignment="1" applyProtection="1">
      <alignment vertical="top" wrapText="1"/>
      <protection locked="0"/>
    </xf>
    <xf numFmtId="0" fontId="8" fillId="2" borderId="1" xfId="0" applyFont="1" applyFill="1" applyBorder="1" applyAlignment="1" applyProtection="1">
      <alignment horizontal="center" vertical="top" wrapText="1"/>
      <protection locked="0"/>
    </xf>
    <xf numFmtId="0" fontId="7" fillId="4" borderId="0" xfId="0" applyFont="1" applyFill="1" applyBorder="1" applyAlignment="1" applyProtection="1">
      <alignment horizontal="right" vertical="top" wrapText="1"/>
      <protection locked="0"/>
    </xf>
    <xf numFmtId="0" fontId="17" fillId="2" borderId="3" xfId="0" applyFont="1" applyFill="1" applyBorder="1" applyAlignment="1" applyProtection="1">
      <alignment horizontal="left" vertical="top" wrapText="1"/>
      <protection locked="0"/>
    </xf>
    <xf numFmtId="0" fontId="8" fillId="2" borderId="1" xfId="0" applyFont="1" applyFill="1" applyBorder="1" applyAlignment="1" applyProtection="1">
      <alignment horizontal="center" vertical="top" wrapText="1"/>
      <protection locked="0"/>
    </xf>
    <xf numFmtId="9" fontId="16" fillId="2" borderId="1" xfId="1" applyNumberFormat="1" applyFont="1" applyFill="1" applyBorder="1" applyAlignment="1" applyProtection="1">
      <alignment horizontal="center" vertical="top" wrapText="1"/>
      <protection locked="0"/>
    </xf>
    <xf numFmtId="0" fontId="8" fillId="2" borderId="1" xfId="0" applyFont="1" applyFill="1" applyBorder="1" applyAlignment="1" applyProtection="1">
      <alignment horizontal="center" vertical="top" wrapText="1"/>
    </xf>
    <xf numFmtId="0" fontId="10" fillId="2" borderId="3" xfId="0" applyFont="1" applyFill="1" applyBorder="1" applyAlignment="1" applyProtection="1">
      <alignment horizontal="left" vertical="top" wrapText="1"/>
      <protection locked="0"/>
    </xf>
    <xf numFmtId="0" fontId="3" fillId="0" borderId="0" xfId="0" applyFont="1"/>
    <xf numFmtId="0" fontId="3" fillId="0" borderId="0" xfId="0" applyFont="1" applyBorder="1"/>
    <xf numFmtId="0" fontId="3" fillId="0" borderId="0" xfId="0" applyFont="1" applyBorder="1" applyAlignment="1"/>
    <xf numFmtId="165" fontId="3" fillId="0" borderId="0" xfId="0" applyNumberFormat="1" applyFont="1"/>
    <xf numFmtId="165" fontId="3" fillId="0" borderId="0" xfId="0" applyNumberFormat="1" applyFont="1" applyBorder="1" applyAlignment="1"/>
    <xf numFmtId="9" fontId="3" fillId="0" borderId="0" xfId="0" applyNumberFormat="1" applyFont="1" applyAlignment="1">
      <alignment horizontal="center"/>
    </xf>
    <xf numFmtId="0" fontId="3" fillId="0" borderId="0" xfId="0" applyFont="1" applyFill="1" applyBorder="1"/>
    <xf numFmtId="165" fontId="3" fillId="0" borderId="0" xfId="0" applyNumberFormat="1" applyFont="1" applyAlignment="1">
      <alignment wrapText="1"/>
    </xf>
    <xf numFmtId="165" fontId="3" fillId="9" borderId="0" xfId="0" applyNumberFormat="1" applyFont="1" applyFill="1" applyAlignment="1">
      <alignment wrapText="1"/>
    </xf>
    <xf numFmtId="0" fontId="3" fillId="0" borderId="0" xfId="0" applyFont="1" applyAlignment="1">
      <alignment wrapText="1"/>
    </xf>
    <xf numFmtId="165" fontId="18" fillId="9" borderId="0" xfId="0" applyNumberFormat="1" applyFont="1" applyFill="1" applyAlignment="1">
      <alignment wrapText="1"/>
    </xf>
    <xf numFmtId="9" fontId="3" fillId="0" borderId="0" xfId="0" applyNumberFormat="1" applyFont="1" applyAlignment="1">
      <alignment horizontal="center" wrapText="1"/>
    </xf>
    <xf numFmtId="9" fontId="3" fillId="0" borderId="0" xfId="0" applyNumberFormat="1" applyFont="1" applyAlignment="1">
      <alignment wrapText="1"/>
    </xf>
    <xf numFmtId="10" fontId="3" fillId="0" borderId="0" xfId="0" applyNumberFormat="1" applyFont="1" applyAlignment="1">
      <alignment wrapText="1"/>
    </xf>
    <xf numFmtId="165" fontId="18" fillId="0" borderId="0" xfId="0" applyNumberFormat="1" applyFont="1" applyBorder="1" applyAlignment="1"/>
    <xf numFmtId="0" fontId="3" fillId="0" borderId="12" xfId="0" applyFont="1" applyBorder="1"/>
    <xf numFmtId="0" fontId="3" fillId="0" borderId="0" xfId="0" applyFont="1" applyAlignment="1">
      <alignment horizontal="left" vertical="top" wrapText="1"/>
    </xf>
    <xf numFmtId="165" fontId="18" fillId="0" borderId="0" xfId="0" applyNumberFormat="1" applyFont="1"/>
    <xf numFmtId="165" fontId="18" fillId="9" borderId="0" xfId="0" applyNumberFormat="1" applyFont="1" applyFill="1"/>
    <xf numFmtId="9" fontId="3" fillId="0" borderId="0" xfId="0" applyNumberFormat="1" applyFont="1"/>
    <xf numFmtId="10" fontId="3" fillId="0" borderId="0" xfId="0" applyNumberFormat="1" applyFont="1"/>
    <xf numFmtId="0" fontId="3" fillId="0" borderId="13" xfId="0" applyFont="1" applyBorder="1"/>
    <xf numFmtId="0" fontId="3" fillId="0" borderId="0" xfId="0" applyFont="1" applyFill="1" applyAlignment="1"/>
    <xf numFmtId="9" fontId="3" fillId="0" borderId="0" xfId="0" applyNumberFormat="1" applyFont="1" applyFill="1" applyAlignment="1">
      <alignment horizontal="center"/>
    </xf>
    <xf numFmtId="165" fontId="18" fillId="0" borderId="0" xfId="0" applyNumberFormat="1" applyFont="1" applyFill="1" applyBorder="1" applyAlignment="1"/>
    <xf numFmtId="0" fontId="3" fillId="0" borderId="0" xfId="0" applyFont="1" applyFill="1"/>
    <xf numFmtId="0" fontId="3" fillId="0" borderId="1" xfId="0" applyFont="1" applyBorder="1" applyAlignment="1">
      <alignment horizontal="left" vertical="top" wrapText="1"/>
    </xf>
    <xf numFmtId="0" fontId="12" fillId="3" borderId="0" xfId="0" applyFont="1" applyFill="1" applyAlignment="1" applyProtection="1">
      <alignment horizontal="left" vertical="center" wrapText="1"/>
      <protection locked="0"/>
    </xf>
    <xf numFmtId="0" fontId="17" fillId="2" borderId="4" xfId="0" applyFont="1" applyFill="1" applyBorder="1" applyAlignment="1" applyProtection="1">
      <alignment horizontal="left" wrapText="1"/>
      <protection locked="0"/>
    </xf>
    <xf numFmtId="0" fontId="17" fillId="4" borderId="0" xfId="0" applyFont="1" applyFill="1" applyAlignment="1" applyProtection="1">
      <alignment wrapText="1"/>
      <protection locked="0"/>
    </xf>
    <xf numFmtId="0" fontId="17" fillId="2" borderId="0" xfId="0" applyFont="1" applyFill="1" applyAlignment="1" applyProtection="1">
      <alignment horizontal="left" wrapText="1"/>
      <protection locked="0"/>
    </xf>
    <xf numFmtId="0" fontId="10" fillId="6" borderId="0" xfId="1" applyNumberFormat="1" applyFont="1" applyFill="1" applyBorder="1" applyAlignment="1" applyProtection="1">
      <alignment horizontal="center" wrapText="1"/>
      <protection locked="0"/>
    </xf>
    <xf numFmtId="0" fontId="3" fillId="4" borderId="0" xfId="0" applyFont="1" applyFill="1" applyAlignment="1" applyProtection="1">
      <protection locked="0"/>
    </xf>
    <xf numFmtId="0" fontId="3" fillId="4" borderId="0" xfId="0" applyFont="1" applyFill="1" applyAlignment="1" applyProtection="1">
      <alignment wrapText="1"/>
      <protection locked="0"/>
    </xf>
    <xf numFmtId="0" fontId="10" fillId="2" borderId="3" xfId="0" applyFont="1" applyFill="1" applyBorder="1" applyAlignment="1" applyProtection="1">
      <alignment horizontal="left" vertical="top" wrapText="1"/>
      <protection locked="0"/>
    </xf>
    <xf numFmtId="0" fontId="10" fillId="2" borderId="1" xfId="0" applyFont="1" applyFill="1" applyBorder="1" applyAlignment="1" applyProtection="1">
      <alignment horizontal="left" vertical="top" wrapText="1"/>
      <protection locked="0"/>
    </xf>
    <xf numFmtId="0" fontId="8" fillId="4" borderId="0" xfId="0" applyFont="1" applyFill="1" applyAlignment="1" applyProtection="1">
      <alignment vertical="top" wrapText="1"/>
      <protection locked="0"/>
    </xf>
    <xf numFmtId="9" fontId="18" fillId="9" borderId="1" xfId="0" applyNumberFormat="1" applyFont="1" applyFill="1" applyBorder="1" applyAlignment="1">
      <alignment horizontal="center" wrapText="1"/>
    </xf>
    <xf numFmtId="0" fontId="7" fillId="4" borderId="1" xfId="0" applyFont="1" applyFill="1" applyBorder="1" applyAlignment="1" applyProtection="1">
      <alignment horizontal="right" vertical="top" wrapText="1"/>
      <protection locked="0"/>
    </xf>
    <xf numFmtId="49" fontId="10" fillId="0" borderId="6" xfId="1" applyNumberFormat="1" applyFont="1" applyFill="1" applyBorder="1" applyAlignment="1" applyProtection="1">
      <alignment horizontal="center" vertical="top" wrapText="1"/>
      <protection locked="0"/>
    </xf>
    <xf numFmtId="0" fontId="3" fillId="3" borderId="0" xfId="0" applyFont="1" applyFill="1" applyAlignment="1" applyProtection="1">
      <alignment horizontal="left" vertical="top" wrapText="1"/>
      <protection locked="0"/>
    </xf>
    <xf numFmtId="9" fontId="3" fillId="3" borderId="0" xfId="2" applyFont="1" applyFill="1" applyAlignment="1" applyProtection="1">
      <alignment horizontal="right" vertical="top" wrapText="1"/>
      <protection locked="0"/>
    </xf>
    <xf numFmtId="0" fontId="3" fillId="3" borderId="0" xfId="0" applyFont="1" applyFill="1" applyAlignment="1" applyProtection="1">
      <alignment vertical="top" wrapText="1"/>
      <protection locked="0"/>
    </xf>
    <xf numFmtId="165" fontId="18" fillId="9" borderId="1" xfId="0" applyNumberFormat="1" applyFont="1" applyFill="1" applyBorder="1" applyAlignment="1">
      <alignment horizontal="center" wrapText="1"/>
    </xf>
    <xf numFmtId="9" fontId="2" fillId="2" borderId="1" xfId="0" applyNumberFormat="1" applyFont="1" applyFill="1" applyBorder="1" applyAlignment="1" applyProtection="1">
      <alignment horizontal="center" vertical="top" wrapText="1"/>
    </xf>
    <xf numFmtId="0" fontId="8" fillId="4" borderId="0" xfId="0" applyFont="1" applyFill="1" applyAlignment="1" applyProtection="1">
      <alignment vertical="top" wrapText="1"/>
      <protection locked="0"/>
    </xf>
    <xf numFmtId="0" fontId="10" fillId="2" borderId="3" xfId="0" applyFont="1" applyFill="1" applyBorder="1" applyAlignment="1" applyProtection="1">
      <alignment horizontal="left" vertical="top" wrapText="1"/>
      <protection locked="0"/>
    </xf>
    <xf numFmtId="0" fontId="8" fillId="2" borderId="1" xfId="0" applyFont="1" applyFill="1" applyBorder="1" applyAlignment="1" applyProtection="1">
      <alignment horizontal="center" vertical="top" wrapText="1"/>
    </xf>
    <xf numFmtId="0" fontId="8" fillId="2" borderId="1" xfId="0" applyFont="1" applyFill="1" applyBorder="1" applyAlignment="1" applyProtection="1">
      <alignment horizontal="center" vertical="top" wrapText="1"/>
      <protection locked="0"/>
    </xf>
    <xf numFmtId="0" fontId="5" fillId="0" borderId="0" xfId="0" applyFont="1" applyFill="1" applyBorder="1" applyAlignment="1" applyProtection="1">
      <alignment horizontal="left" vertical="top"/>
      <protection locked="0"/>
    </xf>
    <xf numFmtId="0" fontId="10" fillId="2" borderId="3"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protection locked="0"/>
    </xf>
    <xf numFmtId="0" fontId="10" fillId="2" borderId="3"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protection locked="0"/>
    </xf>
    <xf numFmtId="0" fontId="10" fillId="2" borderId="3"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protection locked="0"/>
    </xf>
    <xf numFmtId="0" fontId="3" fillId="4" borderId="0" xfId="0" applyFont="1" applyFill="1" applyAlignment="1" applyProtection="1">
      <alignment vertical="top" wrapText="1"/>
      <protection locked="0"/>
    </xf>
    <xf numFmtId="0" fontId="8" fillId="2" borderId="1" xfId="0" applyFont="1" applyFill="1" applyBorder="1" applyAlignment="1" applyProtection="1">
      <alignment horizontal="center" vertical="top" wrapText="1"/>
      <protection locked="0"/>
    </xf>
    <xf numFmtId="9" fontId="16" fillId="2" borderId="1" xfId="1" applyNumberFormat="1" applyFont="1" applyFill="1" applyBorder="1" applyAlignment="1" applyProtection="1">
      <alignment horizontal="center" vertical="top" wrapText="1"/>
      <protection locked="0"/>
    </xf>
    <xf numFmtId="0" fontId="10" fillId="2" borderId="3" xfId="0" applyFont="1" applyFill="1" applyBorder="1" applyAlignment="1" applyProtection="1">
      <alignment horizontal="left" vertical="top" wrapText="1"/>
      <protection locked="0"/>
    </xf>
    <xf numFmtId="49" fontId="10" fillId="0" borderId="1" xfId="1" applyNumberFormat="1" applyFont="1" applyFill="1" applyBorder="1" applyAlignment="1" applyProtection="1">
      <alignment horizontal="center" vertical="top" wrapText="1"/>
      <protection locked="0"/>
    </xf>
    <xf numFmtId="49" fontId="10" fillId="0" borderId="1" xfId="1" applyNumberFormat="1" applyFont="1" applyFill="1" applyBorder="1" applyAlignment="1" applyProtection="1">
      <alignment horizontal="center" vertical="top" wrapText="1"/>
      <protection locked="0"/>
    </xf>
    <xf numFmtId="49" fontId="10" fillId="0" borderId="1" xfId="1" applyNumberFormat="1" applyFont="1" applyFill="1" applyBorder="1" applyAlignment="1" applyProtection="1">
      <alignment horizontal="center" vertical="top" wrapText="1"/>
      <protection locked="0"/>
    </xf>
    <xf numFmtId="165" fontId="18" fillId="7" borderId="0" xfId="0" applyNumberFormat="1" applyFont="1" applyFill="1" applyAlignment="1">
      <alignment horizontal="center"/>
    </xf>
    <xf numFmtId="0" fontId="18" fillId="0" borderId="9" xfId="0" applyFont="1" applyBorder="1" applyAlignment="1">
      <alignment horizontal="center"/>
    </xf>
    <xf numFmtId="0" fontId="3" fillId="0" borderId="9" xfId="0" applyFont="1" applyBorder="1" applyAlignment="1">
      <alignment horizontal="center"/>
    </xf>
    <xf numFmtId="165" fontId="22" fillId="0" borderId="0" xfId="0" applyNumberFormat="1" applyFont="1" applyFill="1" applyBorder="1" applyAlignment="1" applyProtection="1">
      <alignment horizontal="right" vertical="top" wrapText="1"/>
      <protection locked="0"/>
    </xf>
    <xf numFmtId="0" fontId="3" fillId="0" borderId="0" xfId="0" applyFont="1" applyAlignment="1">
      <alignment horizontal="right" wrapText="1"/>
    </xf>
    <xf numFmtId="165" fontId="18" fillId="7" borderId="0" xfId="0" applyNumberFormat="1" applyFont="1" applyFill="1" applyAlignment="1">
      <alignment horizontal="center" wrapText="1"/>
    </xf>
    <xf numFmtId="0" fontId="5" fillId="0" borderId="0" xfId="0" applyFont="1" applyFill="1" applyBorder="1" applyAlignment="1" applyProtection="1">
      <alignment horizontal="left" vertical="top" wrapText="1"/>
      <protection locked="0"/>
    </xf>
    <xf numFmtId="0" fontId="3" fillId="0" borderId="0" xfId="0" applyFont="1" applyAlignment="1">
      <alignment horizontal="left" vertical="top" wrapText="1"/>
    </xf>
    <xf numFmtId="0" fontId="0" fillId="0" borderId="0" xfId="0" applyAlignment="1">
      <alignment horizontal="left" vertical="top" wrapText="1"/>
    </xf>
    <xf numFmtId="0" fontId="12" fillId="3" borderId="0" xfId="0" applyFont="1" applyFill="1" applyAlignment="1" applyProtection="1">
      <alignment horizontal="left" vertical="center" wrapText="1"/>
      <protection locked="0"/>
    </xf>
    <xf numFmtId="0" fontId="0" fillId="0" borderId="0" xfId="0" applyAlignment="1">
      <alignment wrapText="1"/>
    </xf>
    <xf numFmtId="0" fontId="10" fillId="0" borderId="1" xfId="0" applyFont="1" applyFill="1" applyBorder="1" applyAlignment="1" applyProtection="1">
      <alignment horizontal="left" vertical="top" wrapText="1"/>
      <protection locked="0"/>
    </xf>
    <xf numFmtId="0" fontId="0" fillId="0" borderId="1" xfId="0" applyBorder="1" applyAlignment="1">
      <alignment horizontal="left" vertical="top" wrapText="1"/>
    </xf>
    <xf numFmtId="0" fontId="7" fillId="2" borderId="1" xfId="0" applyFont="1" applyFill="1" applyBorder="1" applyAlignment="1" applyProtection="1">
      <alignment horizontal="left" vertical="top" wrapText="1"/>
      <protection locked="0"/>
    </xf>
    <xf numFmtId="0" fontId="17" fillId="2" borderId="0" xfId="0" applyFont="1" applyFill="1" applyAlignment="1" applyProtection="1">
      <alignment horizontal="left" vertical="top" wrapText="1"/>
      <protection locked="0"/>
    </xf>
    <xf numFmtId="0" fontId="17" fillId="5" borderId="0" xfId="0" applyFont="1" applyFill="1" applyAlignment="1" applyProtection="1">
      <alignment horizontal="center" vertical="top" wrapText="1"/>
      <protection locked="0"/>
    </xf>
    <xf numFmtId="0" fontId="10" fillId="2" borderId="1" xfId="0" applyFont="1" applyFill="1" applyBorder="1" applyAlignment="1" applyProtection="1">
      <alignment horizontal="left" vertical="top" wrapText="1"/>
      <protection locked="0"/>
    </xf>
    <xf numFmtId="0" fontId="10" fillId="0" borderId="3" xfId="0" applyFont="1" applyFill="1" applyBorder="1" applyAlignment="1" applyProtection="1">
      <alignment horizontal="left" vertical="top" wrapText="1"/>
      <protection locked="0"/>
    </xf>
    <xf numFmtId="0" fontId="10" fillId="0" borderId="4"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8" fillId="4" borderId="0" xfId="0" applyFont="1" applyFill="1" applyBorder="1" applyAlignment="1" applyProtection="1">
      <alignment horizontal="left" vertical="top" wrapText="1"/>
      <protection locked="0"/>
    </xf>
    <xf numFmtId="0" fontId="7" fillId="2" borderId="3" xfId="0" applyFont="1" applyFill="1" applyBorder="1" applyAlignment="1" applyProtection="1">
      <alignment horizontal="left" vertical="top" wrapText="1"/>
      <protection locked="0"/>
    </xf>
    <xf numFmtId="0" fontId="7" fillId="2" borderId="5"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17" fillId="2" borderId="0" xfId="0" applyFont="1" applyFill="1" applyBorder="1" applyAlignment="1" applyProtection="1">
      <alignment horizontal="left" vertical="top" wrapText="1"/>
      <protection locked="0"/>
    </xf>
    <xf numFmtId="0" fontId="17" fillId="2" borderId="7" xfId="0" applyFont="1" applyFill="1" applyBorder="1" applyAlignment="1" applyProtection="1">
      <alignment horizontal="left" vertical="top" wrapText="1"/>
      <protection locked="0"/>
    </xf>
    <xf numFmtId="0" fontId="7" fillId="4" borderId="0" xfId="0" applyFont="1" applyFill="1" applyAlignment="1" applyProtection="1">
      <alignment vertical="top" wrapText="1"/>
      <protection locked="0"/>
    </xf>
    <xf numFmtId="0" fontId="8" fillId="4" borderId="0" xfId="0" applyFont="1" applyFill="1" applyBorder="1" applyAlignment="1" applyProtection="1">
      <alignment horizontal="left" vertical="top" wrapText="1"/>
      <protection locked="0"/>
    </xf>
    <xf numFmtId="0" fontId="8" fillId="2" borderId="1" xfId="0" applyFont="1" applyFill="1" applyBorder="1" applyAlignment="1" applyProtection="1">
      <alignment horizontal="center" vertical="top" wrapText="1"/>
    </xf>
    <xf numFmtId="0" fontId="10" fillId="4" borderId="0" xfId="0" applyFont="1" applyFill="1" applyBorder="1" applyAlignment="1" applyProtection="1">
      <alignment horizontal="left" vertical="top" wrapText="1"/>
      <protection locked="0"/>
    </xf>
    <xf numFmtId="0" fontId="8" fillId="4" borderId="0" xfId="0" applyFont="1" applyFill="1" applyAlignment="1" applyProtection="1">
      <alignment vertical="top" wrapText="1"/>
      <protection locked="0"/>
    </xf>
    <xf numFmtId="0" fontId="17" fillId="0" borderId="0" xfId="0" applyFont="1" applyFill="1" applyAlignment="1" applyProtection="1">
      <alignment horizontal="left" vertical="top" wrapText="1"/>
      <protection locked="0"/>
    </xf>
    <xf numFmtId="49" fontId="10" fillId="2" borderId="3" xfId="0" applyNumberFormat="1" applyFont="1" applyFill="1" applyBorder="1" applyAlignment="1" applyProtection="1">
      <alignment horizontal="left" vertical="top" wrapText="1"/>
      <protection locked="0"/>
    </xf>
    <xf numFmtId="49" fontId="10" fillId="2" borderId="4" xfId="0" applyNumberFormat="1" applyFont="1" applyFill="1" applyBorder="1" applyAlignment="1" applyProtection="1">
      <alignment horizontal="left" vertical="top" wrapText="1"/>
      <protection locked="0"/>
    </xf>
    <xf numFmtId="49" fontId="10" fillId="2" borderId="5" xfId="0" applyNumberFormat="1"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0" fillId="0" borderId="0" xfId="0" applyAlignment="1">
      <alignment vertical="top" wrapText="1"/>
    </xf>
    <xf numFmtId="0" fontId="0" fillId="0" borderId="9" xfId="0" applyBorder="1" applyAlignment="1">
      <alignment vertical="top" wrapText="1"/>
    </xf>
    <xf numFmtId="0" fontId="17" fillId="2" borderId="0" xfId="0" applyFont="1" applyFill="1" applyBorder="1" applyAlignment="1" applyProtection="1">
      <alignment horizontal="right" vertical="top"/>
      <protection locked="0"/>
    </xf>
    <xf numFmtId="0" fontId="0" fillId="0" borderId="0" xfId="0" applyAlignment="1">
      <alignment horizontal="right" vertical="top"/>
    </xf>
    <xf numFmtId="0" fontId="7" fillId="5" borderId="0" xfId="0" applyFont="1" applyFill="1" applyAlignment="1" applyProtection="1">
      <alignment horizontal="left" vertical="top" wrapText="1"/>
      <protection locked="0"/>
    </xf>
    <xf numFmtId="0" fontId="5" fillId="3" borderId="0" xfId="0" applyFont="1" applyFill="1" applyAlignment="1" applyProtection="1">
      <alignment horizontal="left" vertical="center" wrapText="1"/>
      <protection locked="0"/>
    </xf>
    <xf numFmtId="0" fontId="23" fillId="0" borderId="0" xfId="0" applyFont="1" applyAlignment="1">
      <alignment wrapText="1"/>
    </xf>
    <xf numFmtId="0" fontId="17" fillId="2" borderId="4" xfId="0" applyFont="1" applyFill="1" applyBorder="1" applyAlignment="1" applyProtection="1">
      <alignment horizontal="left"/>
      <protection locked="0"/>
    </xf>
    <xf numFmtId="0" fontId="0" fillId="0" borderId="4" xfId="0" applyBorder="1" applyAlignment="1"/>
    <xf numFmtId="0" fontId="0" fillId="0" borderId="4" xfId="0" applyBorder="1" applyAlignment="1">
      <alignment horizontal="left"/>
    </xf>
    <xf numFmtId="0" fontId="10" fillId="2" borderId="3" xfId="0" applyFont="1" applyFill="1" applyBorder="1" applyAlignment="1" applyProtection="1">
      <alignment horizontal="left" vertical="top" wrapText="1"/>
      <protection locked="0"/>
    </xf>
    <xf numFmtId="0" fontId="10" fillId="2" borderId="4" xfId="0" applyFont="1" applyFill="1" applyBorder="1" applyAlignment="1" applyProtection="1">
      <alignment horizontal="left" vertical="top" wrapText="1"/>
      <protection locked="0"/>
    </xf>
    <xf numFmtId="0" fontId="10" fillId="2" borderId="5" xfId="0" applyFont="1" applyFill="1" applyBorder="1" applyAlignment="1" applyProtection="1">
      <alignment horizontal="left" vertical="top" wrapText="1"/>
      <protection locked="0"/>
    </xf>
    <xf numFmtId="0" fontId="0" fillId="0" borderId="4" xfId="0" applyBorder="1" applyAlignment="1">
      <alignment horizontal="left" vertical="top" wrapText="1"/>
    </xf>
    <xf numFmtId="0" fontId="10" fillId="2" borderId="3" xfId="0" applyFont="1" applyFill="1" applyBorder="1" applyAlignment="1" applyProtection="1">
      <alignment vertical="top" wrapText="1"/>
      <protection locked="0"/>
    </xf>
    <xf numFmtId="0" fontId="10" fillId="2" borderId="4" xfId="0" applyFont="1" applyFill="1" applyBorder="1" applyAlignment="1" applyProtection="1">
      <alignment vertical="top" wrapText="1"/>
      <protection locked="0"/>
    </xf>
    <xf numFmtId="0" fontId="10" fillId="2" borderId="5" xfId="0" applyFont="1" applyFill="1" applyBorder="1" applyAlignment="1" applyProtection="1">
      <alignment vertical="top" wrapText="1"/>
      <protection locked="0"/>
    </xf>
    <xf numFmtId="0" fontId="11" fillId="2" borderId="0" xfId="0" applyFont="1" applyFill="1" applyAlignment="1" applyProtection="1">
      <alignment horizontal="left" vertical="top" wrapText="1"/>
      <protection locked="0"/>
    </xf>
    <xf numFmtId="0" fontId="7" fillId="4" borderId="8" xfId="0" applyFont="1" applyFill="1" applyBorder="1" applyAlignment="1" applyProtection="1">
      <alignment horizontal="right" vertical="center" wrapText="1"/>
      <protection locked="0"/>
    </xf>
    <xf numFmtId="0" fontId="0" fillId="0" borderId="8" xfId="0" applyBorder="1" applyAlignment="1">
      <alignment wrapText="1"/>
    </xf>
    <xf numFmtId="0" fontId="0" fillId="0" borderId="14" xfId="0" applyBorder="1" applyAlignment="1">
      <alignment wrapText="1"/>
    </xf>
  </cellXfs>
  <cellStyles count="3">
    <cellStyle name="Comma" xfId="1" builtinId="3"/>
    <cellStyle name="Normal" xfId="0" builtinId="0"/>
    <cellStyle name="Percent" xfId="2" builtinId="5"/>
  </cellStyles>
  <dxfs count="13">
    <dxf>
      <fill>
        <patternFill>
          <bgColor theme="0" tint="-0.14996795556505021"/>
        </patternFill>
      </fill>
    </dxf>
    <dxf>
      <fill>
        <patternFill>
          <bgColor rgb="FF95B82F"/>
        </patternFill>
      </fill>
    </dxf>
    <dxf>
      <fill>
        <patternFill>
          <bgColor rgb="FF669900"/>
        </patternFill>
      </fill>
    </dxf>
    <dxf>
      <fill>
        <patternFill>
          <bgColor rgb="FFC00000"/>
        </patternFill>
      </fill>
    </dxf>
    <dxf>
      <fill>
        <patternFill>
          <bgColor rgb="FFCC0000"/>
        </patternFill>
      </fill>
    </dxf>
    <dxf>
      <font>
        <color rgb="FFCC0000"/>
      </font>
    </dxf>
    <dxf>
      <font>
        <color rgb="FFCC0000"/>
      </font>
    </dxf>
    <dxf>
      <font>
        <color rgb="FFCC0000"/>
      </font>
    </dxf>
    <dxf>
      <font>
        <color rgb="FFCC0000"/>
      </font>
    </dxf>
    <dxf>
      <font>
        <color rgb="FFCC0000"/>
      </font>
    </dxf>
    <dxf>
      <font>
        <color rgb="FFCC0000"/>
      </font>
    </dxf>
    <dxf>
      <fill>
        <patternFill>
          <bgColor rgb="FF669900"/>
        </patternFill>
      </fill>
    </dxf>
    <dxf>
      <fill>
        <patternFill>
          <bgColor rgb="FFC00000"/>
        </patternFill>
      </fill>
    </dxf>
  </dxfs>
  <tableStyles count="0" defaultTableStyle="TableStyleMedium2" defaultPivotStyle="PivotStyleLight16"/>
  <colors>
    <mruColors>
      <color rgb="FFCC0000"/>
      <color rgb="FF669900"/>
      <color rgb="FF1665A1"/>
      <color rgb="FF008000"/>
      <color rgb="FF95B82F"/>
      <color rgb="FFE4EDC4"/>
      <color rgb="FFC4DFF6"/>
      <color rgb="FF4195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O96"/>
  <sheetViews>
    <sheetView topLeftCell="A88" workbookViewId="0"/>
  </sheetViews>
  <sheetFormatPr defaultRowHeight="12.75" x14ac:dyDescent="0.2"/>
  <cols>
    <col min="1" max="1" width="14.7109375" style="86" customWidth="1"/>
    <col min="2" max="2" width="40.140625" style="86" customWidth="1"/>
    <col min="3" max="3" width="9.140625" style="86"/>
    <col min="4" max="4" width="9.140625" style="91"/>
    <col min="5" max="11" width="9.140625" style="86"/>
    <col min="12" max="12" width="14.7109375" style="86" customWidth="1"/>
    <col min="13" max="13" width="14.7109375" style="90" customWidth="1"/>
    <col min="14" max="16384" width="9.140625" style="86"/>
  </cols>
  <sheetData>
    <row r="2" spans="1:15" ht="15.75" x14ac:dyDescent="0.2">
      <c r="A2" s="45" t="s">
        <v>86</v>
      </c>
      <c r="C2" s="45"/>
      <c r="D2" s="45"/>
      <c r="E2" s="45"/>
      <c r="F2" s="45"/>
      <c r="G2" s="45"/>
      <c r="H2" s="45"/>
      <c r="I2" s="45"/>
      <c r="J2" s="46"/>
      <c r="K2" s="46"/>
      <c r="L2" s="46"/>
      <c r="M2" s="57"/>
      <c r="N2" s="87"/>
    </row>
    <row r="3" spans="1:15" ht="15.75" x14ac:dyDescent="0.2">
      <c r="A3" s="45"/>
      <c r="C3" s="45"/>
      <c r="D3" s="45"/>
      <c r="E3" s="45"/>
      <c r="F3" s="45"/>
      <c r="G3" s="45"/>
      <c r="H3" s="45"/>
      <c r="I3" s="45"/>
      <c r="J3" s="46"/>
      <c r="K3" s="46"/>
      <c r="L3" s="46"/>
      <c r="M3" s="88"/>
      <c r="N3" s="87"/>
    </row>
    <row r="4" spans="1:15" ht="15.75" x14ac:dyDescent="0.2">
      <c r="A4" s="45" t="s">
        <v>87</v>
      </c>
      <c r="B4" s="64" t="s">
        <v>96</v>
      </c>
      <c r="C4" s="45"/>
      <c r="D4" s="45"/>
      <c r="E4" s="45"/>
      <c r="F4" s="45"/>
      <c r="G4" s="45"/>
      <c r="H4" s="45"/>
      <c r="I4" s="45"/>
      <c r="J4" s="46"/>
      <c r="K4" s="46"/>
      <c r="L4" s="46"/>
      <c r="M4" s="57"/>
      <c r="N4" s="87"/>
    </row>
    <row r="5" spans="1:15" ht="15.75" x14ac:dyDescent="0.2">
      <c r="A5" s="45" t="s">
        <v>88</v>
      </c>
      <c r="B5" s="155" t="s">
        <v>110</v>
      </c>
      <c r="C5" s="156"/>
      <c r="D5" s="156"/>
      <c r="E5" s="156"/>
      <c r="F5" s="156"/>
      <c r="G5" s="156"/>
      <c r="H5" s="156"/>
      <c r="I5" s="156"/>
      <c r="J5" s="156"/>
      <c r="K5" s="156"/>
      <c r="L5" s="156"/>
      <c r="M5" s="57"/>
      <c r="N5" s="87"/>
    </row>
    <row r="6" spans="1:15" ht="15.75" x14ac:dyDescent="0.2">
      <c r="A6" s="45"/>
      <c r="B6" s="156"/>
      <c r="C6" s="156"/>
      <c r="D6" s="156"/>
      <c r="E6" s="156"/>
      <c r="F6" s="156"/>
      <c r="G6" s="156"/>
      <c r="H6" s="156"/>
      <c r="I6" s="156"/>
      <c r="J6" s="156"/>
      <c r="K6" s="156"/>
      <c r="L6" s="156"/>
      <c r="M6" s="57"/>
      <c r="N6" s="87"/>
    </row>
    <row r="7" spans="1:15" ht="15.75" x14ac:dyDescent="0.2">
      <c r="A7" s="87"/>
      <c r="B7" s="45"/>
      <c r="C7" s="45"/>
      <c r="D7" s="45"/>
      <c r="E7" s="45"/>
      <c r="F7" s="45"/>
      <c r="G7" s="45"/>
      <c r="H7" s="45"/>
      <c r="I7" s="46"/>
      <c r="J7" s="46"/>
      <c r="K7" s="46"/>
      <c r="L7" s="89"/>
      <c r="N7" s="87"/>
    </row>
    <row r="8" spans="1:15" x14ac:dyDescent="0.2">
      <c r="C8" s="91"/>
      <c r="D8" s="150" t="s">
        <v>9</v>
      </c>
      <c r="E8" s="151"/>
      <c r="F8" s="150" t="s">
        <v>10</v>
      </c>
      <c r="G8" s="151"/>
      <c r="H8" s="150" t="s">
        <v>51</v>
      </c>
      <c r="I8" s="151"/>
      <c r="J8" s="150" t="s">
        <v>50</v>
      </c>
      <c r="K8" s="151"/>
      <c r="L8" s="152" t="s">
        <v>97</v>
      </c>
      <c r="N8" s="92"/>
      <c r="O8" s="92"/>
    </row>
    <row r="9" spans="1:15" ht="15.75" x14ac:dyDescent="0.2">
      <c r="B9" s="47"/>
      <c r="C9" s="47"/>
      <c r="D9" s="31">
        <v>0.4</v>
      </c>
      <c r="E9" s="31">
        <v>0.25</v>
      </c>
      <c r="F9" s="31">
        <v>0.2</v>
      </c>
      <c r="G9" s="31">
        <v>0.15</v>
      </c>
      <c r="H9" s="31">
        <v>0</v>
      </c>
      <c r="I9" s="31">
        <v>0</v>
      </c>
      <c r="J9" s="31">
        <v>0</v>
      </c>
      <c r="K9" s="31">
        <v>0</v>
      </c>
      <c r="L9" s="153"/>
      <c r="N9" s="48"/>
      <c r="O9" s="48"/>
    </row>
    <row r="10" spans="1:15" ht="63.75" x14ac:dyDescent="0.2">
      <c r="B10" s="81" t="s">
        <v>42</v>
      </c>
      <c r="C10" s="76" t="s">
        <v>52</v>
      </c>
      <c r="D10" s="134" t="s">
        <v>112</v>
      </c>
      <c r="E10" s="134" t="s">
        <v>113</v>
      </c>
      <c r="F10" s="134" t="s">
        <v>114</v>
      </c>
      <c r="G10" s="134" t="s">
        <v>115</v>
      </c>
      <c r="H10" s="82" t="s">
        <v>43</v>
      </c>
      <c r="I10" s="82" t="s">
        <v>44</v>
      </c>
      <c r="J10" s="82" t="s">
        <v>43</v>
      </c>
      <c r="K10" s="82" t="s">
        <v>44</v>
      </c>
      <c r="L10" s="93"/>
    </row>
    <row r="11" spans="1:15" ht="25.5" x14ac:dyDescent="0.2">
      <c r="B11" s="132" t="s">
        <v>111</v>
      </c>
      <c r="C11" s="75">
        <v>1</v>
      </c>
      <c r="D11" s="32">
        <v>0</v>
      </c>
      <c r="E11" s="32">
        <v>0</v>
      </c>
      <c r="F11" s="32">
        <v>1</v>
      </c>
      <c r="G11" s="32">
        <v>0</v>
      </c>
      <c r="H11" s="32">
        <v>0</v>
      </c>
      <c r="I11" s="32">
        <v>0</v>
      </c>
      <c r="J11" s="32">
        <v>0</v>
      </c>
      <c r="K11" s="32">
        <v>0</v>
      </c>
      <c r="L11" s="94"/>
    </row>
    <row r="12" spans="1:15" ht="15.75" x14ac:dyDescent="0.2">
      <c r="B12" s="85" t="s">
        <v>101</v>
      </c>
      <c r="C12" s="75"/>
      <c r="D12" s="32">
        <v>0</v>
      </c>
      <c r="E12" s="32">
        <v>0</v>
      </c>
      <c r="F12" s="32">
        <v>0</v>
      </c>
      <c r="G12" s="32">
        <v>0</v>
      </c>
      <c r="H12" s="32">
        <v>0</v>
      </c>
      <c r="I12" s="32">
        <v>0</v>
      </c>
      <c r="J12" s="32">
        <v>0</v>
      </c>
      <c r="K12" s="32">
        <v>0</v>
      </c>
      <c r="L12" s="94"/>
    </row>
    <row r="13" spans="1:15" ht="15.75" x14ac:dyDescent="0.2">
      <c r="A13" s="95"/>
      <c r="B13" s="85" t="s">
        <v>102</v>
      </c>
      <c r="C13" s="75"/>
      <c r="D13" s="32">
        <v>0</v>
      </c>
      <c r="E13" s="32">
        <v>0</v>
      </c>
      <c r="F13" s="32">
        <v>0</v>
      </c>
      <c r="G13" s="32">
        <v>0</v>
      </c>
      <c r="H13" s="32">
        <v>0</v>
      </c>
      <c r="I13" s="32">
        <v>0</v>
      </c>
      <c r="J13" s="32">
        <v>0</v>
      </c>
      <c r="K13" s="32">
        <v>0</v>
      </c>
      <c r="L13" s="94"/>
    </row>
    <row r="14" spans="1:15" ht="15.75" x14ac:dyDescent="0.2">
      <c r="B14" s="85" t="s">
        <v>103</v>
      </c>
      <c r="C14" s="75"/>
      <c r="D14" s="32">
        <v>0</v>
      </c>
      <c r="E14" s="32">
        <v>0</v>
      </c>
      <c r="F14" s="32">
        <v>0</v>
      </c>
      <c r="G14" s="32">
        <v>0</v>
      </c>
      <c r="H14" s="32">
        <v>0</v>
      </c>
      <c r="I14" s="32">
        <v>0</v>
      </c>
      <c r="J14" s="32">
        <v>0</v>
      </c>
      <c r="K14" s="32">
        <v>0</v>
      </c>
      <c r="L14" s="94"/>
    </row>
    <row r="15" spans="1:15" x14ac:dyDescent="0.2">
      <c r="B15" s="124" t="s">
        <v>46</v>
      </c>
      <c r="C15" s="123">
        <f>SUM(C11:C14)</f>
        <v>1</v>
      </c>
      <c r="D15" s="129">
        <f>D9*SUM(D11:D14)/2</f>
        <v>0</v>
      </c>
      <c r="E15" s="129">
        <f t="shared" ref="E15:K15" si="0">E9*SUM(E11:E14)/2</f>
        <v>0</v>
      </c>
      <c r="F15" s="129">
        <f t="shared" si="0"/>
        <v>0.1</v>
      </c>
      <c r="G15" s="129">
        <f t="shared" si="0"/>
        <v>0</v>
      </c>
      <c r="H15" s="129">
        <f t="shared" si="0"/>
        <v>0</v>
      </c>
      <c r="I15" s="129">
        <f t="shared" si="0"/>
        <v>0</v>
      </c>
      <c r="J15" s="129">
        <f t="shared" si="0"/>
        <v>0</v>
      </c>
      <c r="K15" s="129">
        <f t="shared" si="0"/>
        <v>0</v>
      </c>
      <c r="L15" s="96"/>
    </row>
    <row r="16" spans="1:15" x14ac:dyDescent="0.2">
      <c r="B16" s="77" t="s">
        <v>45</v>
      </c>
      <c r="C16" s="80"/>
      <c r="D16" s="154">
        <f>D15+E15</f>
        <v>0</v>
      </c>
      <c r="E16" s="154"/>
      <c r="F16" s="154">
        <f t="shared" ref="F16" si="1">F15+G15</f>
        <v>0.1</v>
      </c>
      <c r="G16" s="154"/>
      <c r="H16" s="154">
        <f t="shared" ref="H16" si="2">H15+I15</f>
        <v>0</v>
      </c>
      <c r="I16" s="154"/>
      <c r="J16" s="154">
        <f t="shared" ref="J16" si="3">J15+K15</f>
        <v>0</v>
      </c>
      <c r="K16" s="154"/>
      <c r="L16" s="96">
        <f>SUM(D16:K16)</f>
        <v>0.1</v>
      </c>
    </row>
    <row r="17" spans="1:14" ht="13.5" thickBot="1" x14ac:dyDescent="0.25">
      <c r="B17" s="95"/>
      <c r="C17" s="95"/>
      <c r="D17" s="97"/>
      <c r="E17" s="98"/>
      <c r="F17" s="98"/>
      <c r="G17" s="98"/>
      <c r="H17" s="99"/>
      <c r="I17" s="98"/>
      <c r="J17" s="98"/>
      <c r="K17" s="98"/>
      <c r="L17" s="95"/>
      <c r="M17" s="100"/>
    </row>
    <row r="18" spans="1:14" ht="15.75" x14ac:dyDescent="0.2">
      <c r="A18" s="61" t="s">
        <v>89</v>
      </c>
      <c r="B18" s="101"/>
      <c r="C18" s="59"/>
      <c r="D18" s="59"/>
      <c r="E18" s="59"/>
      <c r="F18" s="59"/>
      <c r="G18" s="59"/>
      <c r="H18" s="59"/>
      <c r="I18" s="59"/>
      <c r="J18" s="60"/>
      <c r="K18" s="60"/>
      <c r="L18" s="60"/>
      <c r="N18" s="87"/>
    </row>
    <row r="19" spans="1:14" ht="15.75" x14ac:dyDescent="0.2">
      <c r="A19" s="45"/>
      <c r="C19" s="45"/>
      <c r="D19" s="45"/>
      <c r="E19" s="45"/>
      <c r="F19" s="45"/>
      <c r="G19" s="45"/>
      <c r="H19" s="45"/>
      <c r="I19" s="45"/>
      <c r="J19" s="46"/>
      <c r="K19" s="46"/>
      <c r="L19" s="46"/>
      <c r="M19" s="57"/>
      <c r="N19" s="87"/>
    </row>
    <row r="20" spans="1:14" ht="15.75" x14ac:dyDescent="0.2">
      <c r="A20" s="45" t="s">
        <v>87</v>
      </c>
      <c r="B20" s="135" t="s">
        <v>116</v>
      </c>
      <c r="C20" s="45"/>
      <c r="D20" s="45"/>
      <c r="E20" s="45"/>
      <c r="F20" s="45"/>
      <c r="G20" s="45"/>
      <c r="H20" s="45"/>
      <c r="I20" s="45"/>
      <c r="J20" s="46"/>
      <c r="K20" s="46"/>
      <c r="L20" s="46"/>
      <c r="M20" s="57"/>
      <c r="N20" s="87"/>
    </row>
    <row r="21" spans="1:14" ht="15.75" x14ac:dyDescent="0.2">
      <c r="A21" s="45" t="s">
        <v>88</v>
      </c>
      <c r="B21" s="155" t="s">
        <v>117</v>
      </c>
      <c r="C21" s="156"/>
      <c r="D21" s="156"/>
      <c r="E21" s="156"/>
      <c r="F21" s="156"/>
      <c r="G21" s="156"/>
      <c r="H21" s="156"/>
      <c r="I21" s="156"/>
      <c r="J21" s="156"/>
      <c r="K21" s="156"/>
      <c r="L21" s="156"/>
      <c r="M21" s="57"/>
      <c r="N21" s="87"/>
    </row>
    <row r="22" spans="1:14" ht="32.25" customHeight="1" x14ac:dyDescent="0.2">
      <c r="A22" s="45"/>
      <c r="B22" s="157"/>
      <c r="C22" s="157"/>
      <c r="D22" s="157"/>
      <c r="E22" s="157"/>
      <c r="F22" s="157"/>
      <c r="G22" s="157"/>
      <c r="H22" s="157"/>
      <c r="I22" s="157"/>
      <c r="J22" s="157"/>
      <c r="K22" s="157"/>
      <c r="L22" s="157"/>
      <c r="M22" s="57"/>
      <c r="N22" s="87"/>
    </row>
    <row r="23" spans="1:14" ht="15.75" x14ac:dyDescent="0.2">
      <c r="A23" s="45"/>
      <c r="B23" s="102"/>
      <c r="C23" s="102"/>
      <c r="D23" s="102"/>
      <c r="E23" s="102"/>
      <c r="F23" s="102"/>
      <c r="G23" s="102"/>
      <c r="H23" s="102"/>
      <c r="I23" s="102"/>
      <c r="J23" s="102"/>
      <c r="K23" s="102"/>
      <c r="L23" s="57"/>
      <c r="N23" s="87"/>
    </row>
    <row r="24" spans="1:14" ht="15.75" x14ac:dyDescent="0.2">
      <c r="B24" s="49"/>
      <c r="C24" s="49"/>
      <c r="D24" s="150" t="s">
        <v>9</v>
      </c>
      <c r="E24" s="151"/>
      <c r="F24" s="150" t="s">
        <v>10</v>
      </c>
      <c r="G24" s="151"/>
      <c r="H24" s="150" t="s">
        <v>51</v>
      </c>
      <c r="I24" s="151"/>
      <c r="J24" s="150" t="s">
        <v>50</v>
      </c>
      <c r="K24" s="151"/>
      <c r="L24" s="152" t="s">
        <v>97</v>
      </c>
    </row>
    <row r="25" spans="1:14" ht="15.75" x14ac:dyDescent="0.2">
      <c r="B25" s="50"/>
      <c r="C25" s="50"/>
      <c r="D25" s="130">
        <f>Benefit1KPI1Rating</f>
        <v>0.4</v>
      </c>
      <c r="E25" s="130">
        <f>Benefit1KPI2Rating</f>
        <v>0.25</v>
      </c>
      <c r="F25" s="130">
        <f>Benefit2KPI1Rating</f>
        <v>0.2</v>
      </c>
      <c r="G25" s="130">
        <f>Benefit2KPI2Rating</f>
        <v>0.15</v>
      </c>
      <c r="H25" s="130">
        <f>Benefit3KPI1Rating</f>
        <v>0</v>
      </c>
      <c r="I25" s="130">
        <f>Benefit3KPI2Rating</f>
        <v>0</v>
      </c>
      <c r="J25" s="130">
        <f>Benefit4KPI1Rating</f>
        <v>0</v>
      </c>
      <c r="K25" s="130">
        <f>Benefit4KPI2Rating</f>
        <v>0</v>
      </c>
      <c r="L25" s="153"/>
    </row>
    <row r="26" spans="1:14" ht="63.75" x14ac:dyDescent="0.2">
      <c r="B26" s="81" t="s">
        <v>42</v>
      </c>
      <c r="C26" s="76" t="s">
        <v>52</v>
      </c>
      <c r="D26" s="133" t="str">
        <f>Benefit1KPI1</f>
        <v>KPI 1
Faster cargo through-put</v>
      </c>
      <c r="E26" s="84" t="str">
        <f>Benefit1KPI2</f>
        <v>KPI 2
Increased and more diverse cargo</v>
      </c>
      <c r="F26" s="84" t="str">
        <f>Benefit2KPI1</f>
        <v>KPI 1Improved Port security</v>
      </c>
      <c r="G26" s="84" t="str">
        <f>Benefit2KPI2</f>
        <v>KPI 2
Reduced frequency of crashes</v>
      </c>
      <c r="H26" s="84" t="str">
        <f>Benefit3KPI1</f>
        <v>KPI 1</v>
      </c>
      <c r="I26" s="84" t="str">
        <f>Benefit3KPI2</f>
        <v>KPI 2</v>
      </c>
      <c r="J26" s="84" t="str">
        <f>Benefit4KPI1</f>
        <v>KPI 1</v>
      </c>
      <c r="K26" s="84" t="str">
        <f>Benefit4KPI2</f>
        <v>KPI 2</v>
      </c>
      <c r="L26" s="103"/>
    </row>
    <row r="27" spans="1:14" ht="51" x14ac:dyDescent="0.2">
      <c r="B27" s="136" t="s">
        <v>118</v>
      </c>
      <c r="C27" s="75">
        <v>0.5</v>
      </c>
      <c r="D27" s="32">
        <v>2</v>
      </c>
      <c r="E27" s="32">
        <v>1</v>
      </c>
      <c r="F27" s="32">
        <v>1</v>
      </c>
      <c r="G27" s="32">
        <v>0</v>
      </c>
      <c r="H27" s="32">
        <v>0</v>
      </c>
      <c r="I27" s="32">
        <v>0</v>
      </c>
      <c r="J27" s="32">
        <v>0</v>
      </c>
      <c r="K27" s="32">
        <v>0</v>
      </c>
      <c r="L27" s="104"/>
    </row>
    <row r="28" spans="1:14" ht="25.5" x14ac:dyDescent="0.2">
      <c r="B28" s="136" t="s">
        <v>119</v>
      </c>
      <c r="C28" s="75">
        <v>0.35</v>
      </c>
      <c r="D28" s="32">
        <v>0</v>
      </c>
      <c r="E28" s="32">
        <v>0</v>
      </c>
      <c r="F28" s="32">
        <v>0</v>
      </c>
      <c r="G28" s="32">
        <v>1</v>
      </c>
      <c r="H28" s="32">
        <v>0</v>
      </c>
      <c r="I28" s="32">
        <v>0</v>
      </c>
      <c r="J28" s="32">
        <v>0</v>
      </c>
      <c r="K28" s="32">
        <v>0</v>
      </c>
      <c r="L28" s="104"/>
    </row>
    <row r="29" spans="1:14" ht="25.5" x14ac:dyDescent="0.2">
      <c r="B29" s="136" t="s">
        <v>111</v>
      </c>
      <c r="C29" s="75">
        <v>0.15</v>
      </c>
      <c r="D29" s="32">
        <v>0</v>
      </c>
      <c r="E29" s="32">
        <v>0</v>
      </c>
      <c r="F29" s="32">
        <v>0</v>
      </c>
      <c r="G29" s="32">
        <v>0</v>
      </c>
      <c r="H29" s="32">
        <v>0</v>
      </c>
      <c r="I29" s="32">
        <v>0</v>
      </c>
      <c r="J29" s="32">
        <v>0</v>
      </c>
      <c r="K29" s="32">
        <v>0</v>
      </c>
      <c r="L29" s="104"/>
    </row>
    <row r="30" spans="1:14" ht="15.75" x14ac:dyDescent="0.2">
      <c r="B30" s="120" t="s">
        <v>103</v>
      </c>
      <c r="C30" s="75"/>
      <c r="D30" s="32">
        <v>0</v>
      </c>
      <c r="E30" s="32">
        <v>0</v>
      </c>
      <c r="F30" s="32">
        <v>0</v>
      </c>
      <c r="G30" s="32">
        <v>0</v>
      </c>
      <c r="H30" s="32">
        <v>0</v>
      </c>
      <c r="I30" s="32">
        <v>0</v>
      </c>
      <c r="J30" s="32">
        <v>0</v>
      </c>
      <c r="K30" s="32">
        <v>0</v>
      </c>
      <c r="L30" s="104"/>
    </row>
    <row r="31" spans="1:14" x14ac:dyDescent="0.2">
      <c r="B31" s="124" t="s">
        <v>46</v>
      </c>
      <c r="C31" s="123">
        <f>SUM(C27:C30)</f>
        <v>1</v>
      </c>
      <c r="D31" s="129">
        <f>D25*SUM(D27:D30)/2</f>
        <v>0.4</v>
      </c>
      <c r="E31" s="129">
        <f t="shared" ref="E31" si="4">E25*SUM(E27:E30)/2</f>
        <v>0.125</v>
      </c>
      <c r="F31" s="129">
        <f t="shared" ref="F31" si="5">F25*SUM(F27:F30)/2</f>
        <v>0.1</v>
      </c>
      <c r="G31" s="129">
        <f t="shared" ref="G31" si="6">G25*SUM(G27:G30)/2</f>
        <v>7.4999999999999997E-2</v>
      </c>
      <c r="H31" s="129">
        <f t="shared" ref="H31" si="7">H25*SUM(H27:H30)/2</f>
        <v>0</v>
      </c>
      <c r="I31" s="129">
        <f t="shared" ref="I31" si="8">I25*SUM(I27:I30)/2</f>
        <v>0</v>
      </c>
      <c r="J31" s="129">
        <f t="shared" ref="J31" si="9">J25*SUM(J27:J30)/2</f>
        <v>0</v>
      </c>
      <c r="K31" s="129">
        <f t="shared" ref="K31" si="10">K25*SUM(K27:K30)/2</f>
        <v>0</v>
      </c>
      <c r="L31" s="104"/>
    </row>
    <row r="32" spans="1:14" x14ac:dyDescent="0.2">
      <c r="B32" s="77" t="s">
        <v>45</v>
      </c>
      <c r="C32" s="80"/>
      <c r="D32" s="149">
        <f>D31+E31</f>
        <v>0.52500000000000002</v>
      </c>
      <c r="E32" s="149"/>
      <c r="F32" s="149">
        <f t="shared" ref="F32" si="11">F31+G31</f>
        <v>0.17499999999999999</v>
      </c>
      <c r="G32" s="149"/>
      <c r="H32" s="149">
        <f t="shared" ref="H32" si="12">H31+I31</f>
        <v>0</v>
      </c>
      <c r="I32" s="149"/>
      <c r="J32" s="149">
        <f t="shared" ref="J32" si="13">J31+K31</f>
        <v>0</v>
      </c>
      <c r="K32" s="149"/>
      <c r="L32" s="104">
        <f>SUM(D32:K32)</f>
        <v>0.7</v>
      </c>
    </row>
    <row r="33" spans="1:14" ht="13.5" thickBot="1" x14ac:dyDescent="0.25">
      <c r="E33" s="105"/>
      <c r="F33" s="105"/>
      <c r="G33" s="105"/>
      <c r="H33" s="106"/>
      <c r="I33" s="105"/>
      <c r="J33" s="105"/>
      <c r="K33" s="105"/>
      <c r="M33" s="100"/>
    </row>
    <row r="34" spans="1:14" ht="15.75" x14ac:dyDescent="0.2">
      <c r="A34" s="61" t="s">
        <v>90</v>
      </c>
      <c r="B34" s="107"/>
      <c r="C34" s="61"/>
      <c r="D34" s="61"/>
      <c r="E34" s="61"/>
      <c r="F34" s="61"/>
      <c r="G34" s="61"/>
      <c r="H34" s="61"/>
      <c r="I34" s="61"/>
      <c r="J34" s="62"/>
      <c r="K34" s="62"/>
      <c r="L34" s="62"/>
      <c r="N34" s="87"/>
    </row>
    <row r="35" spans="1:14" ht="15.75" x14ac:dyDescent="0.2">
      <c r="A35" s="45"/>
      <c r="C35" s="45"/>
      <c r="D35" s="45"/>
      <c r="E35" s="45"/>
      <c r="F35" s="45"/>
      <c r="G35" s="45"/>
      <c r="H35" s="45"/>
      <c r="I35" s="45"/>
      <c r="J35" s="46"/>
      <c r="K35" s="46"/>
      <c r="L35" s="46"/>
      <c r="M35" s="57"/>
      <c r="N35" s="87"/>
    </row>
    <row r="36" spans="1:14" ht="15.75" x14ac:dyDescent="0.2">
      <c r="A36" s="45" t="s">
        <v>87</v>
      </c>
      <c r="B36" s="137" t="s">
        <v>120</v>
      </c>
      <c r="C36" s="45"/>
      <c r="D36" s="45"/>
      <c r="E36" s="45"/>
      <c r="F36" s="45"/>
      <c r="G36" s="45"/>
      <c r="H36" s="45"/>
      <c r="I36" s="45"/>
      <c r="J36" s="46"/>
      <c r="K36" s="46"/>
      <c r="L36" s="46"/>
      <c r="M36" s="57"/>
      <c r="N36" s="87"/>
    </row>
    <row r="37" spans="1:14" ht="15.75" x14ac:dyDescent="0.2">
      <c r="A37" s="45" t="s">
        <v>88</v>
      </c>
      <c r="B37" s="155" t="s">
        <v>121</v>
      </c>
      <c r="C37" s="156"/>
      <c r="D37" s="156"/>
      <c r="E37" s="156"/>
      <c r="F37" s="156"/>
      <c r="G37" s="156"/>
      <c r="H37" s="156"/>
      <c r="I37" s="156"/>
      <c r="J37" s="156"/>
      <c r="K37" s="156"/>
      <c r="L37" s="156"/>
      <c r="M37" s="57"/>
      <c r="N37" s="87"/>
    </row>
    <row r="38" spans="1:14" ht="38.25" customHeight="1" x14ac:dyDescent="0.2">
      <c r="A38" s="45"/>
      <c r="B38" s="157"/>
      <c r="C38" s="157"/>
      <c r="D38" s="157"/>
      <c r="E38" s="157"/>
      <c r="F38" s="157"/>
      <c r="G38" s="157"/>
      <c r="H38" s="157"/>
      <c r="I38" s="157"/>
      <c r="J38" s="157"/>
      <c r="K38" s="157"/>
      <c r="L38" s="157"/>
      <c r="M38" s="57"/>
      <c r="N38" s="87"/>
    </row>
    <row r="39" spans="1:14" x14ac:dyDescent="0.2">
      <c r="C39" s="91"/>
      <c r="D39" s="86"/>
      <c r="L39" s="103"/>
    </row>
    <row r="40" spans="1:14" x14ac:dyDescent="0.2">
      <c r="B40" s="108"/>
      <c r="C40" s="109"/>
      <c r="D40" s="150" t="s">
        <v>9</v>
      </c>
      <c r="E40" s="151"/>
      <c r="F40" s="150" t="s">
        <v>10</v>
      </c>
      <c r="G40" s="151"/>
      <c r="H40" s="150" t="s">
        <v>51</v>
      </c>
      <c r="I40" s="151"/>
      <c r="J40" s="150" t="s">
        <v>50</v>
      </c>
      <c r="K40" s="151"/>
      <c r="L40" s="152" t="s">
        <v>97</v>
      </c>
    </row>
    <row r="41" spans="1:14" ht="15.75" x14ac:dyDescent="0.2">
      <c r="B41" s="47"/>
      <c r="C41" s="47"/>
      <c r="D41" s="130">
        <f>Benefit1KPI1Rating</f>
        <v>0.4</v>
      </c>
      <c r="E41" s="130">
        <f>Benefit1KPI2Rating</f>
        <v>0.25</v>
      </c>
      <c r="F41" s="130">
        <f>Benefit2KPI1Rating</f>
        <v>0.2</v>
      </c>
      <c r="G41" s="130">
        <f>Benefit2KPI2Rating</f>
        <v>0.15</v>
      </c>
      <c r="H41" s="130">
        <f>Benefit3KPI1Rating</f>
        <v>0</v>
      </c>
      <c r="I41" s="130">
        <f>Benefit3KPI2Rating</f>
        <v>0</v>
      </c>
      <c r="J41" s="130">
        <f>Benefit4KPI1Rating</f>
        <v>0</v>
      </c>
      <c r="K41" s="130">
        <f>Benefit4KPI2Rating</f>
        <v>0</v>
      </c>
      <c r="L41" s="153"/>
    </row>
    <row r="42" spans="1:14" ht="63.75" x14ac:dyDescent="0.2">
      <c r="B42" s="43" t="s">
        <v>42</v>
      </c>
      <c r="C42" s="76" t="s">
        <v>52</v>
      </c>
      <c r="D42" s="84" t="str">
        <f>Benefit1KPI1</f>
        <v>KPI 1
Faster cargo through-put</v>
      </c>
      <c r="E42" s="84" t="str">
        <f>Benefit1KPI2</f>
        <v>KPI 2
Increased and more diverse cargo</v>
      </c>
      <c r="F42" s="84" t="str">
        <f>Benefit2KPI1</f>
        <v>KPI 1Improved Port security</v>
      </c>
      <c r="G42" s="84" t="str">
        <f>Benefit2KPI2</f>
        <v>KPI 2
Reduced frequency of crashes</v>
      </c>
      <c r="H42" s="84" t="str">
        <f>Benefit3KPI1</f>
        <v>KPI 1</v>
      </c>
      <c r="I42" s="84" t="str">
        <f>Benefit3KPI2</f>
        <v>KPI 2</v>
      </c>
      <c r="J42" s="84" t="str">
        <f>Benefit4KPI1</f>
        <v>KPI 1</v>
      </c>
      <c r="K42" s="84" t="str">
        <f>Benefit4KPI2</f>
        <v>KPI 2</v>
      </c>
      <c r="L42" s="103"/>
    </row>
    <row r="43" spans="1:14" ht="25.5" x14ac:dyDescent="0.2">
      <c r="B43" s="138" t="s">
        <v>122</v>
      </c>
      <c r="C43" s="75">
        <v>0.1</v>
      </c>
      <c r="D43" s="32">
        <v>0</v>
      </c>
      <c r="E43" s="32">
        <v>0</v>
      </c>
      <c r="F43" s="32">
        <v>2</v>
      </c>
      <c r="G43" s="32">
        <v>0</v>
      </c>
      <c r="H43" s="32">
        <v>0</v>
      </c>
      <c r="I43" s="32">
        <v>0</v>
      </c>
      <c r="J43" s="32">
        <v>0</v>
      </c>
      <c r="K43" s="32">
        <v>0</v>
      </c>
      <c r="L43" s="104"/>
    </row>
    <row r="44" spans="1:14" ht="38.25" x14ac:dyDescent="0.2">
      <c r="B44" s="138" t="s">
        <v>123</v>
      </c>
      <c r="C44" s="75">
        <v>0.2</v>
      </c>
      <c r="D44" s="32">
        <v>0</v>
      </c>
      <c r="E44" s="32">
        <v>0</v>
      </c>
      <c r="F44" s="32">
        <v>0</v>
      </c>
      <c r="G44" s="32">
        <v>1</v>
      </c>
      <c r="H44" s="32">
        <v>0</v>
      </c>
      <c r="I44" s="32">
        <v>0</v>
      </c>
      <c r="J44" s="32">
        <v>0</v>
      </c>
      <c r="K44" s="32">
        <v>0</v>
      </c>
      <c r="L44" s="104"/>
    </row>
    <row r="45" spans="1:14" ht="38.25" x14ac:dyDescent="0.2">
      <c r="B45" s="138" t="s">
        <v>124</v>
      </c>
      <c r="C45" s="75">
        <v>0.4</v>
      </c>
      <c r="D45" s="32">
        <v>1</v>
      </c>
      <c r="E45" s="32">
        <v>0</v>
      </c>
      <c r="F45" s="32">
        <v>0</v>
      </c>
      <c r="G45" s="32">
        <v>0</v>
      </c>
      <c r="H45" s="32">
        <v>0</v>
      </c>
      <c r="I45" s="32">
        <v>0</v>
      </c>
      <c r="J45" s="32">
        <v>0</v>
      </c>
      <c r="K45" s="32">
        <v>0</v>
      </c>
      <c r="L45" s="104"/>
    </row>
    <row r="46" spans="1:14" ht="51" x14ac:dyDescent="0.2">
      <c r="B46" s="138" t="s">
        <v>125</v>
      </c>
      <c r="C46" s="75">
        <v>0.3</v>
      </c>
      <c r="D46" s="32">
        <v>1</v>
      </c>
      <c r="E46" s="32">
        <v>1</v>
      </c>
      <c r="F46" s="32">
        <v>0</v>
      </c>
      <c r="G46" s="32">
        <v>1</v>
      </c>
      <c r="H46" s="32">
        <v>0</v>
      </c>
      <c r="I46" s="32">
        <v>0</v>
      </c>
      <c r="J46" s="32">
        <v>0</v>
      </c>
      <c r="K46" s="32">
        <v>0</v>
      </c>
      <c r="L46" s="104"/>
    </row>
    <row r="47" spans="1:14" x14ac:dyDescent="0.2">
      <c r="B47" s="124" t="s">
        <v>46</v>
      </c>
      <c r="C47" s="123">
        <f>SUM(C43:C46)</f>
        <v>1</v>
      </c>
      <c r="D47" s="129">
        <f>D41*SUM(D43:D46)/2</f>
        <v>0.4</v>
      </c>
      <c r="E47" s="129">
        <f t="shared" ref="E47" si="14">E41*SUM(E43:E46)/2</f>
        <v>0.125</v>
      </c>
      <c r="F47" s="129">
        <f t="shared" ref="F47" si="15">F41*SUM(F43:F46)/2</f>
        <v>0.2</v>
      </c>
      <c r="G47" s="129">
        <f t="shared" ref="G47" si="16">G41*SUM(G43:G46)/2</f>
        <v>0.15</v>
      </c>
      <c r="H47" s="129">
        <f t="shared" ref="H47" si="17">H41*SUM(H43:H46)/2</f>
        <v>0</v>
      </c>
      <c r="I47" s="129">
        <f t="shared" ref="I47" si="18">I41*SUM(I43:I46)/2</f>
        <v>0</v>
      </c>
      <c r="J47" s="129">
        <f t="shared" ref="J47" si="19">J41*SUM(J43:J46)/2</f>
        <v>0</v>
      </c>
      <c r="K47" s="129">
        <f t="shared" ref="K47" si="20">K41*SUM(K43:K46)/2</f>
        <v>0</v>
      </c>
      <c r="L47" s="104"/>
    </row>
    <row r="48" spans="1:14" x14ac:dyDescent="0.2">
      <c r="B48" s="77" t="s">
        <v>45</v>
      </c>
      <c r="C48" s="80"/>
      <c r="D48" s="149">
        <f>D47+E47</f>
        <v>0.52500000000000002</v>
      </c>
      <c r="E48" s="149"/>
      <c r="F48" s="149">
        <f t="shared" ref="F48" si="21">F47+G47</f>
        <v>0.35</v>
      </c>
      <c r="G48" s="149"/>
      <c r="H48" s="149">
        <f t="shared" ref="H48" si="22">H47+I47</f>
        <v>0</v>
      </c>
      <c r="I48" s="149"/>
      <c r="J48" s="149">
        <f t="shared" ref="J48" si="23">J47+K47</f>
        <v>0</v>
      </c>
      <c r="K48" s="149"/>
      <c r="L48" s="104">
        <f>SUM(D48:K48)</f>
        <v>0.875</v>
      </c>
    </row>
    <row r="49" spans="1:14" ht="16.5" thickBot="1" x14ac:dyDescent="0.25">
      <c r="B49" s="45"/>
      <c r="C49" s="53"/>
      <c r="D49" s="54"/>
      <c r="E49" s="53"/>
      <c r="F49" s="53"/>
      <c r="G49" s="53"/>
      <c r="H49" s="53"/>
      <c r="I49" s="53"/>
      <c r="J49" s="53"/>
      <c r="K49" s="53"/>
      <c r="L49" s="53"/>
      <c r="M49" s="110"/>
    </row>
    <row r="50" spans="1:14" ht="15.75" x14ac:dyDescent="0.2">
      <c r="A50" s="61" t="s">
        <v>91</v>
      </c>
      <c r="B50" s="107"/>
      <c r="C50" s="61"/>
      <c r="D50" s="61"/>
      <c r="E50" s="61"/>
      <c r="F50" s="61"/>
      <c r="G50" s="61"/>
      <c r="H50" s="61"/>
      <c r="I50" s="61"/>
      <c r="J50" s="62"/>
      <c r="K50" s="62"/>
      <c r="L50" s="62"/>
      <c r="N50" s="87"/>
    </row>
    <row r="51" spans="1:14" ht="15.75" x14ac:dyDescent="0.2">
      <c r="A51" s="45"/>
      <c r="C51" s="45"/>
      <c r="D51" s="45"/>
      <c r="E51" s="45"/>
      <c r="F51" s="45"/>
      <c r="G51" s="45"/>
      <c r="H51" s="45"/>
      <c r="I51" s="45"/>
      <c r="J51" s="46"/>
      <c r="K51" s="46"/>
      <c r="L51" s="46"/>
      <c r="M51" s="57"/>
      <c r="N51" s="87"/>
    </row>
    <row r="52" spans="1:14" ht="15.75" x14ac:dyDescent="0.2">
      <c r="A52" s="45" t="s">
        <v>87</v>
      </c>
      <c r="B52" s="139" t="s">
        <v>126</v>
      </c>
      <c r="C52" s="45"/>
      <c r="D52" s="45"/>
      <c r="E52" s="45"/>
      <c r="F52" s="45"/>
      <c r="G52" s="45"/>
      <c r="H52" s="45"/>
      <c r="I52" s="45"/>
      <c r="J52" s="46"/>
      <c r="K52" s="46"/>
      <c r="L52" s="46"/>
      <c r="M52" s="57"/>
      <c r="N52" s="87"/>
    </row>
    <row r="53" spans="1:14" ht="15.75" x14ac:dyDescent="0.2">
      <c r="A53" s="45" t="s">
        <v>88</v>
      </c>
      <c r="B53" s="155" t="s">
        <v>127</v>
      </c>
      <c r="C53" s="156"/>
      <c r="D53" s="156"/>
      <c r="E53" s="156"/>
      <c r="F53" s="156"/>
      <c r="G53" s="156"/>
      <c r="H53" s="156"/>
      <c r="I53" s="156"/>
      <c r="J53" s="156"/>
      <c r="K53" s="156"/>
      <c r="L53" s="156"/>
      <c r="M53" s="57"/>
      <c r="N53" s="87"/>
    </row>
    <row r="54" spans="1:14" ht="35.25" customHeight="1" x14ac:dyDescent="0.2">
      <c r="A54" s="45"/>
      <c r="B54" s="157"/>
      <c r="C54" s="157"/>
      <c r="D54" s="157"/>
      <c r="E54" s="157"/>
      <c r="F54" s="157"/>
      <c r="G54" s="157"/>
      <c r="H54" s="157"/>
      <c r="I54" s="157"/>
      <c r="J54" s="157"/>
      <c r="K54" s="157"/>
      <c r="L54" s="157"/>
      <c r="M54" s="57"/>
      <c r="N54" s="87"/>
    </row>
    <row r="55" spans="1:14" x14ac:dyDescent="0.2">
      <c r="C55" s="91"/>
      <c r="D55" s="86"/>
      <c r="L55" s="103"/>
    </row>
    <row r="56" spans="1:14" x14ac:dyDescent="0.2">
      <c r="C56" s="91"/>
      <c r="D56" s="150" t="s">
        <v>9</v>
      </c>
      <c r="E56" s="151"/>
      <c r="F56" s="150" t="s">
        <v>10</v>
      </c>
      <c r="G56" s="151"/>
      <c r="H56" s="150" t="s">
        <v>51</v>
      </c>
      <c r="I56" s="151"/>
      <c r="J56" s="150" t="s">
        <v>50</v>
      </c>
      <c r="K56" s="151"/>
      <c r="L56" s="152" t="s">
        <v>97</v>
      </c>
    </row>
    <row r="57" spans="1:14" ht="15.75" x14ac:dyDescent="0.2">
      <c r="B57" s="50"/>
      <c r="C57" s="55"/>
      <c r="D57" s="130">
        <f>Benefit1KPI1Rating</f>
        <v>0.4</v>
      </c>
      <c r="E57" s="130">
        <f>Benefit1KPI2Rating</f>
        <v>0.25</v>
      </c>
      <c r="F57" s="130">
        <f>Benefit2KPI1Rating</f>
        <v>0.2</v>
      </c>
      <c r="G57" s="130">
        <f>Benefit2KPI2Rating</f>
        <v>0.15</v>
      </c>
      <c r="H57" s="130">
        <f>Benefit3KPI1Rating</f>
        <v>0</v>
      </c>
      <c r="I57" s="130">
        <f>Benefit3KPI2Rating</f>
        <v>0</v>
      </c>
      <c r="J57" s="130">
        <f>Benefit4KPI1Rating</f>
        <v>0</v>
      </c>
      <c r="K57" s="130">
        <f>Benefit4KPI2Rating</f>
        <v>0</v>
      </c>
      <c r="L57" s="153"/>
    </row>
    <row r="58" spans="1:14" ht="63.75" x14ac:dyDescent="0.2">
      <c r="B58" s="43" t="s">
        <v>42</v>
      </c>
      <c r="C58" s="76" t="s">
        <v>52</v>
      </c>
      <c r="D58" s="84" t="str">
        <f>Benefit1KPI1</f>
        <v>KPI 1
Faster cargo through-put</v>
      </c>
      <c r="E58" s="84" t="str">
        <f>Benefit1KPI2</f>
        <v>KPI 2
Increased and more diverse cargo</v>
      </c>
      <c r="F58" s="84" t="str">
        <f>Benefit2KPI1</f>
        <v>KPI 1Improved Port security</v>
      </c>
      <c r="G58" s="84" t="str">
        <f>Benefit2KPI2</f>
        <v>KPI 2
Reduced frequency of crashes</v>
      </c>
      <c r="H58" s="84" t="str">
        <f>Benefit3KPI1</f>
        <v>KPI 1</v>
      </c>
      <c r="I58" s="84" t="str">
        <f>Benefit3KPI2</f>
        <v>KPI 2</v>
      </c>
      <c r="J58" s="84" t="str">
        <f>Benefit4KPI1</f>
        <v>KPI 1</v>
      </c>
      <c r="K58" s="84" t="str">
        <f>Benefit4KPI2</f>
        <v>KPI 2</v>
      </c>
      <c r="L58" s="103"/>
    </row>
    <row r="59" spans="1:14" ht="25.5" x14ac:dyDescent="0.2">
      <c r="B59" s="140" t="s">
        <v>122</v>
      </c>
      <c r="C59" s="75">
        <v>0.3</v>
      </c>
      <c r="D59" s="32">
        <v>0</v>
      </c>
      <c r="E59" s="32">
        <v>0</v>
      </c>
      <c r="F59" s="32">
        <v>2</v>
      </c>
      <c r="G59" s="32">
        <v>0</v>
      </c>
      <c r="H59" s="32">
        <v>0</v>
      </c>
      <c r="I59" s="32">
        <v>0</v>
      </c>
      <c r="J59" s="32">
        <v>0</v>
      </c>
      <c r="K59" s="32">
        <v>0</v>
      </c>
      <c r="L59" s="104"/>
    </row>
    <row r="60" spans="1:14" ht="25.5" x14ac:dyDescent="0.2">
      <c r="B60" s="140" t="s">
        <v>128</v>
      </c>
      <c r="C60" s="75">
        <v>0.2</v>
      </c>
      <c r="D60" s="32">
        <v>0</v>
      </c>
      <c r="E60" s="32">
        <v>0</v>
      </c>
      <c r="F60" s="32">
        <v>0</v>
      </c>
      <c r="G60" s="32">
        <v>1</v>
      </c>
      <c r="H60" s="32">
        <v>0</v>
      </c>
      <c r="I60" s="32">
        <v>0</v>
      </c>
      <c r="J60" s="32">
        <v>0</v>
      </c>
      <c r="K60" s="32">
        <v>0</v>
      </c>
      <c r="L60" s="104"/>
    </row>
    <row r="61" spans="1:14" ht="25.5" x14ac:dyDescent="0.2">
      <c r="B61" s="140" t="s">
        <v>129</v>
      </c>
      <c r="C61" s="75">
        <v>0.5</v>
      </c>
      <c r="D61" s="32">
        <v>1</v>
      </c>
      <c r="E61" s="32">
        <v>0</v>
      </c>
      <c r="F61" s="32">
        <v>0</v>
      </c>
      <c r="G61" s="32">
        <v>0</v>
      </c>
      <c r="H61" s="32">
        <v>0</v>
      </c>
      <c r="I61" s="32">
        <v>0</v>
      </c>
      <c r="J61" s="32">
        <v>0</v>
      </c>
      <c r="K61" s="32">
        <v>0</v>
      </c>
      <c r="L61" s="104"/>
    </row>
    <row r="62" spans="1:14" ht="15.75" x14ac:dyDescent="0.2">
      <c r="B62" s="120" t="s">
        <v>103</v>
      </c>
      <c r="C62" s="75"/>
      <c r="D62" s="32">
        <v>0</v>
      </c>
      <c r="E62" s="32">
        <v>0</v>
      </c>
      <c r="F62" s="32">
        <v>0</v>
      </c>
      <c r="G62" s="32">
        <v>0</v>
      </c>
      <c r="H62" s="32">
        <v>0</v>
      </c>
      <c r="I62" s="32">
        <v>0</v>
      </c>
      <c r="J62" s="32">
        <v>0</v>
      </c>
      <c r="K62" s="32">
        <v>0</v>
      </c>
      <c r="L62" s="104"/>
    </row>
    <row r="63" spans="1:14" x14ac:dyDescent="0.2">
      <c r="B63" s="124" t="s">
        <v>46</v>
      </c>
      <c r="C63" s="123">
        <f>SUM(C59:C62)</f>
        <v>1</v>
      </c>
      <c r="D63" s="129">
        <f>D57*SUM(D59:D62)/2</f>
        <v>0.2</v>
      </c>
      <c r="E63" s="129">
        <f t="shared" ref="E63" si="24">E57*SUM(E59:E62)/2</f>
        <v>0</v>
      </c>
      <c r="F63" s="129">
        <f t="shared" ref="F63" si="25">F57*SUM(F59:F62)/2</f>
        <v>0.2</v>
      </c>
      <c r="G63" s="129">
        <f t="shared" ref="G63" si="26">G57*SUM(G59:G62)/2</f>
        <v>7.4999999999999997E-2</v>
      </c>
      <c r="H63" s="129">
        <f t="shared" ref="H63" si="27">H57*SUM(H59:H62)/2</f>
        <v>0</v>
      </c>
      <c r="I63" s="129">
        <f t="shared" ref="I63" si="28">I57*SUM(I59:I62)/2</f>
        <v>0</v>
      </c>
      <c r="J63" s="129">
        <f t="shared" ref="J63" si="29">J57*SUM(J59:J62)/2</f>
        <v>0</v>
      </c>
      <c r="K63" s="129">
        <f t="shared" ref="K63" si="30">K57*SUM(K59:K62)/2</f>
        <v>0</v>
      </c>
      <c r="L63" s="104"/>
    </row>
    <row r="64" spans="1:14" x14ac:dyDescent="0.2">
      <c r="B64" s="77" t="s">
        <v>45</v>
      </c>
      <c r="C64" s="80"/>
      <c r="D64" s="149">
        <f>D63+E63</f>
        <v>0.2</v>
      </c>
      <c r="E64" s="149"/>
      <c r="F64" s="149">
        <f t="shared" ref="F64" si="31">F63+G63</f>
        <v>0.27500000000000002</v>
      </c>
      <c r="G64" s="149"/>
      <c r="H64" s="149">
        <f t="shared" ref="H64" si="32">H63+I63</f>
        <v>0</v>
      </c>
      <c r="I64" s="149"/>
      <c r="J64" s="149">
        <f t="shared" ref="J64" si="33">J63+K63</f>
        <v>0</v>
      </c>
      <c r="K64" s="149"/>
      <c r="L64" s="104">
        <f>SUM(D64:K64)</f>
        <v>0.47500000000000003</v>
      </c>
    </row>
    <row r="65" spans="1:14" ht="13.5" thickBot="1" x14ac:dyDescent="0.25">
      <c r="E65" s="105"/>
      <c r="F65" s="105"/>
      <c r="G65" s="106"/>
      <c r="H65" s="106"/>
      <c r="I65" s="105"/>
      <c r="J65" s="105"/>
      <c r="M65" s="100"/>
    </row>
    <row r="66" spans="1:14" ht="15.75" x14ac:dyDescent="0.2">
      <c r="A66" s="61" t="s">
        <v>92</v>
      </c>
      <c r="B66" s="107"/>
      <c r="C66" s="61"/>
      <c r="D66" s="61"/>
      <c r="E66" s="61"/>
      <c r="F66" s="61"/>
      <c r="G66" s="61"/>
      <c r="H66" s="61"/>
      <c r="I66" s="61"/>
      <c r="J66" s="62"/>
      <c r="K66" s="62"/>
      <c r="L66" s="62"/>
      <c r="N66" s="87"/>
    </row>
    <row r="67" spans="1:14" ht="15.75" x14ac:dyDescent="0.2">
      <c r="A67" s="45"/>
      <c r="C67" s="45"/>
      <c r="D67" s="45"/>
      <c r="E67" s="45"/>
      <c r="F67" s="45"/>
      <c r="G67" s="45"/>
      <c r="H67" s="45"/>
      <c r="I67" s="45"/>
      <c r="J67" s="46"/>
      <c r="K67" s="46"/>
      <c r="L67" s="46"/>
      <c r="M67" s="57"/>
      <c r="N67" s="87"/>
    </row>
    <row r="68" spans="1:14" ht="15.75" x14ac:dyDescent="0.2">
      <c r="A68" s="45" t="s">
        <v>87</v>
      </c>
      <c r="B68" s="141" t="s">
        <v>130</v>
      </c>
      <c r="C68" s="45"/>
      <c r="D68" s="45"/>
      <c r="E68" s="45"/>
      <c r="F68" s="45"/>
      <c r="G68" s="45"/>
      <c r="H68" s="45"/>
      <c r="I68" s="45"/>
      <c r="J68" s="46"/>
      <c r="K68" s="46"/>
      <c r="L68" s="46"/>
      <c r="M68" s="57"/>
      <c r="N68" s="87"/>
    </row>
    <row r="69" spans="1:14" ht="15.75" x14ac:dyDescent="0.2">
      <c r="A69" s="45" t="s">
        <v>88</v>
      </c>
      <c r="B69" s="155" t="s">
        <v>131</v>
      </c>
      <c r="C69" s="156"/>
      <c r="D69" s="156"/>
      <c r="E69" s="156"/>
      <c r="F69" s="156"/>
      <c r="G69" s="156"/>
      <c r="H69" s="156"/>
      <c r="I69" s="156"/>
      <c r="J69" s="156"/>
      <c r="K69" s="156"/>
      <c r="L69" s="156"/>
      <c r="M69" s="57"/>
      <c r="N69" s="87"/>
    </row>
    <row r="70" spans="1:14" ht="33" customHeight="1" x14ac:dyDescent="0.2">
      <c r="A70" s="45"/>
      <c r="B70" s="157"/>
      <c r="C70" s="157"/>
      <c r="D70" s="157"/>
      <c r="E70" s="157"/>
      <c r="F70" s="157"/>
      <c r="G70" s="157"/>
      <c r="H70" s="157"/>
      <c r="I70" s="157"/>
      <c r="J70" s="157"/>
      <c r="K70" s="157"/>
      <c r="L70" s="157"/>
      <c r="M70" s="57"/>
      <c r="N70" s="87"/>
    </row>
    <row r="71" spans="1:14" x14ac:dyDescent="0.2">
      <c r="M71" s="100"/>
    </row>
    <row r="72" spans="1:14" x14ac:dyDescent="0.2">
      <c r="B72" s="111"/>
      <c r="C72" s="91"/>
      <c r="D72" s="150" t="s">
        <v>9</v>
      </c>
      <c r="E72" s="151"/>
      <c r="F72" s="150" t="s">
        <v>10</v>
      </c>
      <c r="G72" s="151"/>
      <c r="H72" s="150" t="s">
        <v>51</v>
      </c>
      <c r="I72" s="151"/>
      <c r="J72" s="150" t="s">
        <v>50</v>
      </c>
      <c r="K72" s="151"/>
      <c r="L72" s="152" t="s">
        <v>97</v>
      </c>
    </row>
    <row r="73" spans="1:14" ht="15.75" x14ac:dyDescent="0.2">
      <c r="B73" s="50"/>
      <c r="C73" s="55"/>
      <c r="D73" s="130">
        <f>Benefit1KPI1Rating</f>
        <v>0.4</v>
      </c>
      <c r="E73" s="130">
        <f>Benefit1KPI2Rating</f>
        <v>0.25</v>
      </c>
      <c r="F73" s="130">
        <f>Benefit2KPI1Rating</f>
        <v>0.2</v>
      </c>
      <c r="G73" s="130">
        <f>Benefit2KPI2Rating</f>
        <v>0.15</v>
      </c>
      <c r="H73" s="130">
        <f>Benefit3KPI1Rating</f>
        <v>0</v>
      </c>
      <c r="I73" s="130">
        <f>Benefit3KPI2Rating</f>
        <v>0</v>
      </c>
      <c r="J73" s="130">
        <f>Benefit4KPI1Rating</f>
        <v>0</v>
      </c>
      <c r="K73" s="130">
        <f>Benefit4KPI2Rating</f>
        <v>0</v>
      </c>
      <c r="L73" s="153"/>
    </row>
    <row r="74" spans="1:14" ht="63.75" x14ac:dyDescent="0.2">
      <c r="B74" s="43" t="s">
        <v>42</v>
      </c>
      <c r="C74" s="76" t="s">
        <v>52</v>
      </c>
      <c r="D74" s="84" t="str">
        <f>Benefit1KPI1</f>
        <v>KPI 1
Faster cargo through-put</v>
      </c>
      <c r="E74" s="84" t="str">
        <f>Benefit1KPI2</f>
        <v>KPI 2
Increased and more diverse cargo</v>
      </c>
      <c r="F74" s="84" t="str">
        <f>Benefit2KPI1</f>
        <v>KPI 1Improved Port security</v>
      </c>
      <c r="G74" s="84" t="str">
        <f>Benefit2KPI2</f>
        <v>KPI 2
Reduced frequency of crashes</v>
      </c>
      <c r="H74" s="84" t="str">
        <f>Benefit3KPI1</f>
        <v>KPI 1</v>
      </c>
      <c r="I74" s="84" t="str">
        <f>Benefit3KPI2</f>
        <v>KPI 2</v>
      </c>
      <c r="J74" s="84" t="str">
        <f>Benefit4KPI1</f>
        <v>KPI 1</v>
      </c>
      <c r="K74" s="84" t="str">
        <f>Benefit4KPI2</f>
        <v>KPI 2</v>
      </c>
      <c r="L74" s="103"/>
    </row>
    <row r="75" spans="1:14" ht="25.5" x14ac:dyDescent="0.2">
      <c r="B75" s="145" t="s">
        <v>132</v>
      </c>
      <c r="C75" s="75">
        <v>0.2</v>
      </c>
      <c r="D75" s="32">
        <v>0</v>
      </c>
      <c r="E75" s="32">
        <v>1</v>
      </c>
      <c r="F75" s="32">
        <v>0</v>
      </c>
      <c r="G75" s="32">
        <v>0</v>
      </c>
      <c r="H75" s="32">
        <v>0</v>
      </c>
      <c r="I75" s="32">
        <v>0</v>
      </c>
      <c r="J75" s="32">
        <v>0</v>
      </c>
      <c r="K75" s="32">
        <v>0</v>
      </c>
      <c r="L75" s="104"/>
    </row>
    <row r="76" spans="1:14" ht="25.5" x14ac:dyDescent="0.2">
      <c r="B76" s="145" t="s">
        <v>133</v>
      </c>
      <c r="C76" s="75">
        <v>0.5</v>
      </c>
      <c r="D76" s="32">
        <v>2</v>
      </c>
      <c r="E76" s="32">
        <v>1</v>
      </c>
      <c r="F76" s="32">
        <v>0</v>
      </c>
      <c r="G76" s="32">
        <v>0</v>
      </c>
      <c r="H76" s="32">
        <v>0</v>
      </c>
      <c r="I76" s="32">
        <v>0</v>
      </c>
      <c r="J76" s="32">
        <v>0</v>
      </c>
      <c r="K76" s="32">
        <v>0</v>
      </c>
      <c r="L76" s="104"/>
    </row>
    <row r="77" spans="1:14" ht="25.5" x14ac:dyDescent="0.2">
      <c r="B77" s="145" t="s">
        <v>134</v>
      </c>
      <c r="C77" s="75">
        <v>0.15</v>
      </c>
      <c r="D77" s="32">
        <v>0</v>
      </c>
      <c r="E77" s="32">
        <v>0</v>
      </c>
      <c r="F77" s="32">
        <v>0</v>
      </c>
      <c r="G77" s="32">
        <v>2</v>
      </c>
      <c r="H77" s="32">
        <v>0</v>
      </c>
      <c r="I77" s="32">
        <v>0</v>
      </c>
      <c r="J77" s="32">
        <v>0</v>
      </c>
      <c r="K77" s="32">
        <v>0</v>
      </c>
      <c r="L77" s="104"/>
    </row>
    <row r="78" spans="1:14" ht="25.5" x14ac:dyDescent="0.2">
      <c r="B78" s="145" t="s">
        <v>122</v>
      </c>
      <c r="C78" s="75">
        <v>0.15</v>
      </c>
      <c r="D78" s="32">
        <v>0</v>
      </c>
      <c r="E78" s="32">
        <v>0</v>
      </c>
      <c r="F78" s="32">
        <v>1</v>
      </c>
      <c r="G78" s="32">
        <v>0</v>
      </c>
      <c r="H78" s="32">
        <v>0</v>
      </c>
      <c r="I78" s="32">
        <v>0</v>
      </c>
      <c r="J78" s="32">
        <v>0</v>
      </c>
      <c r="K78" s="32">
        <v>0</v>
      </c>
      <c r="L78" s="104"/>
    </row>
    <row r="79" spans="1:14" x14ac:dyDescent="0.2">
      <c r="B79" s="124" t="s">
        <v>46</v>
      </c>
      <c r="C79" s="123">
        <f>SUM(C75:C78)</f>
        <v>1</v>
      </c>
      <c r="D79" s="129">
        <f>D73*SUM(D75:D78)/2</f>
        <v>0.4</v>
      </c>
      <c r="E79" s="129">
        <f t="shared" ref="E79" si="34">E73*SUM(E75:E78)/2</f>
        <v>0.25</v>
      </c>
      <c r="F79" s="129">
        <f t="shared" ref="F79" si="35">F73*SUM(F75:F78)/2</f>
        <v>0.1</v>
      </c>
      <c r="G79" s="129">
        <f t="shared" ref="G79" si="36">G73*SUM(G75:G78)/2</f>
        <v>0.15</v>
      </c>
      <c r="H79" s="129">
        <f t="shared" ref="H79" si="37">H73*SUM(H75:H78)/2</f>
        <v>0</v>
      </c>
      <c r="I79" s="129">
        <f t="shared" ref="I79" si="38">I73*SUM(I75:I78)/2</f>
        <v>0</v>
      </c>
      <c r="J79" s="129">
        <f t="shared" ref="J79" si="39">J73*SUM(J75:J78)/2</f>
        <v>0</v>
      </c>
      <c r="K79" s="129">
        <f t="shared" ref="K79" si="40">K73*SUM(K75:K78)/2</f>
        <v>0</v>
      </c>
      <c r="L79" s="104"/>
    </row>
    <row r="80" spans="1:14" x14ac:dyDescent="0.2">
      <c r="B80" s="77" t="s">
        <v>45</v>
      </c>
      <c r="C80" s="80"/>
      <c r="D80" s="149">
        <f>D79+E79</f>
        <v>0.65</v>
      </c>
      <c r="E80" s="149"/>
      <c r="F80" s="149">
        <f t="shared" ref="F80" si="41">F79+G79</f>
        <v>0.25</v>
      </c>
      <c r="G80" s="149"/>
      <c r="H80" s="149">
        <f t="shared" ref="H80" si="42">H79+I79</f>
        <v>0</v>
      </c>
      <c r="I80" s="149"/>
      <c r="J80" s="149">
        <f t="shared" ref="J80" si="43">J79+K79</f>
        <v>0</v>
      </c>
      <c r="K80" s="149"/>
      <c r="L80" s="104">
        <f>SUM(D80:K80)</f>
        <v>0.9</v>
      </c>
    </row>
    <row r="81" spans="1:14" ht="13.5" thickBot="1" x14ac:dyDescent="0.25">
      <c r="B81" s="111"/>
    </row>
    <row r="82" spans="1:14" ht="15.75" x14ac:dyDescent="0.2">
      <c r="A82" s="61" t="s">
        <v>93</v>
      </c>
      <c r="B82" s="107"/>
      <c r="C82" s="61"/>
      <c r="D82" s="61"/>
      <c r="E82" s="61"/>
      <c r="F82" s="61"/>
      <c r="G82" s="61"/>
      <c r="H82" s="61"/>
      <c r="I82" s="61"/>
      <c r="J82" s="62"/>
      <c r="K82" s="62"/>
      <c r="L82" s="62"/>
      <c r="N82" s="87"/>
    </row>
    <row r="83" spans="1:14" ht="15.75" x14ac:dyDescent="0.2">
      <c r="A83" s="45"/>
      <c r="C83" s="45"/>
      <c r="D83" s="45"/>
      <c r="E83" s="45"/>
      <c r="F83" s="45"/>
      <c r="G83" s="45"/>
      <c r="H83" s="45"/>
      <c r="I83" s="45"/>
      <c r="J83" s="46"/>
      <c r="K83" s="46"/>
      <c r="L83" s="46"/>
      <c r="M83" s="57"/>
      <c r="N83" s="87"/>
    </row>
    <row r="84" spans="1:14" ht="15.75" x14ac:dyDescent="0.2">
      <c r="A84" s="45" t="s">
        <v>87</v>
      </c>
      <c r="B84" s="58" t="s">
        <v>94</v>
      </c>
      <c r="C84" s="45"/>
      <c r="D84" s="45"/>
      <c r="E84" s="45"/>
      <c r="F84" s="45"/>
      <c r="G84" s="45"/>
      <c r="H84" s="45"/>
      <c r="I84" s="45"/>
      <c r="J84" s="46"/>
      <c r="K84" s="46"/>
      <c r="L84" s="46"/>
      <c r="M84" s="57"/>
      <c r="N84" s="87"/>
    </row>
    <row r="85" spans="1:14" ht="15.75" x14ac:dyDescent="0.2">
      <c r="A85" s="45" t="s">
        <v>88</v>
      </c>
      <c r="B85" s="155" t="s">
        <v>95</v>
      </c>
      <c r="C85" s="156"/>
      <c r="D85" s="156"/>
      <c r="E85" s="156"/>
      <c r="F85" s="156"/>
      <c r="G85" s="156"/>
      <c r="H85" s="156"/>
      <c r="I85" s="156"/>
      <c r="J85" s="156"/>
      <c r="K85" s="156"/>
      <c r="L85" s="156"/>
      <c r="M85" s="57"/>
      <c r="N85" s="87"/>
    </row>
    <row r="86" spans="1:14" ht="15.75" x14ac:dyDescent="0.2">
      <c r="A86" s="45"/>
      <c r="B86" s="157"/>
      <c r="C86" s="157"/>
      <c r="D86" s="157"/>
      <c r="E86" s="157"/>
      <c r="F86" s="157"/>
      <c r="G86" s="157"/>
      <c r="H86" s="157"/>
      <c r="I86" s="157"/>
      <c r="J86" s="157"/>
      <c r="K86" s="157"/>
      <c r="L86" s="157"/>
      <c r="M86" s="57"/>
      <c r="N86" s="87"/>
    </row>
    <row r="87" spans="1:14" ht="15.75" x14ac:dyDescent="0.2">
      <c r="B87" s="51"/>
      <c r="C87" s="56"/>
      <c r="D87" s="52"/>
      <c r="E87" s="56"/>
      <c r="F87" s="56"/>
      <c r="G87" s="56"/>
      <c r="H87" s="56"/>
      <c r="I87" s="56"/>
      <c r="J87" s="56"/>
      <c r="K87" s="56"/>
      <c r="L87" s="56"/>
      <c r="M87" s="110"/>
    </row>
    <row r="88" spans="1:14" x14ac:dyDescent="0.2">
      <c r="B88" s="111"/>
      <c r="C88" s="91"/>
      <c r="D88" s="150" t="s">
        <v>9</v>
      </c>
      <c r="E88" s="151"/>
      <c r="F88" s="150" t="s">
        <v>10</v>
      </c>
      <c r="G88" s="151"/>
      <c r="H88" s="150" t="s">
        <v>51</v>
      </c>
      <c r="I88" s="151"/>
      <c r="J88" s="150" t="s">
        <v>50</v>
      </c>
      <c r="K88" s="151"/>
      <c r="L88" s="152" t="s">
        <v>97</v>
      </c>
    </row>
    <row r="89" spans="1:14" ht="15.75" x14ac:dyDescent="0.2">
      <c r="B89" s="47"/>
      <c r="C89" s="47"/>
      <c r="D89" s="130">
        <f>Benefit1KPI1Rating</f>
        <v>0.4</v>
      </c>
      <c r="E89" s="130">
        <f>Benefit1KPI2Rating</f>
        <v>0.25</v>
      </c>
      <c r="F89" s="130">
        <f>Benefit2KPI1Rating</f>
        <v>0.2</v>
      </c>
      <c r="G89" s="130">
        <f>Benefit2KPI2Rating</f>
        <v>0.15</v>
      </c>
      <c r="H89" s="130">
        <f>Benefit3KPI1Rating</f>
        <v>0</v>
      </c>
      <c r="I89" s="130">
        <f>Benefit3KPI2Rating</f>
        <v>0</v>
      </c>
      <c r="J89" s="130">
        <f>Benefit4KPI1Rating</f>
        <v>0</v>
      </c>
      <c r="K89" s="130">
        <f>Benefit4KPI2Rating</f>
        <v>0</v>
      </c>
      <c r="L89" s="153"/>
    </row>
    <row r="90" spans="1:14" ht="63.75" x14ac:dyDescent="0.2">
      <c r="B90" s="43" t="s">
        <v>42</v>
      </c>
      <c r="C90" s="76" t="s">
        <v>52</v>
      </c>
      <c r="D90" s="84" t="str">
        <f>Benefit1KPI1</f>
        <v>KPI 1
Faster cargo through-put</v>
      </c>
      <c r="E90" s="84" t="str">
        <f>Benefit1KPI2</f>
        <v>KPI 2
Increased and more diverse cargo</v>
      </c>
      <c r="F90" s="84" t="str">
        <f>Benefit2KPI1</f>
        <v>KPI 1Improved Port security</v>
      </c>
      <c r="G90" s="84" t="str">
        <f>Benefit2KPI2</f>
        <v>KPI 2
Reduced frequency of crashes</v>
      </c>
      <c r="H90" s="84" t="str">
        <f>Benefit3KPI1</f>
        <v>KPI 1</v>
      </c>
      <c r="I90" s="84" t="str">
        <f>Benefit3KPI2</f>
        <v>KPI 2</v>
      </c>
      <c r="J90" s="84" t="str">
        <f>Benefit4KPI1</f>
        <v>KPI 1</v>
      </c>
      <c r="K90" s="84" t="str">
        <f>Benefit4KPI2</f>
        <v>KPI 2</v>
      </c>
      <c r="L90" s="103"/>
    </row>
    <row r="91" spans="1:14" ht="15.75" x14ac:dyDescent="0.2">
      <c r="B91" s="120" t="s">
        <v>100</v>
      </c>
      <c r="C91" s="75"/>
      <c r="D91" s="32">
        <v>0</v>
      </c>
      <c r="E91" s="32">
        <v>0</v>
      </c>
      <c r="F91" s="32">
        <v>0</v>
      </c>
      <c r="G91" s="32">
        <v>0</v>
      </c>
      <c r="H91" s="32">
        <v>0</v>
      </c>
      <c r="I91" s="32">
        <v>0</v>
      </c>
      <c r="J91" s="32">
        <v>0</v>
      </c>
      <c r="K91" s="32">
        <v>0</v>
      </c>
      <c r="L91" s="104"/>
    </row>
    <row r="92" spans="1:14" ht="15.75" x14ac:dyDescent="0.2">
      <c r="B92" s="120" t="s">
        <v>101</v>
      </c>
      <c r="C92" s="75"/>
      <c r="D92" s="32">
        <v>0</v>
      </c>
      <c r="E92" s="32">
        <v>0</v>
      </c>
      <c r="F92" s="32">
        <v>0</v>
      </c>
      <c r="G92" s="32">
        <v>0</v>
      </c>
      <c r="H92" s="32">
        <v>0</v>
      </c>
      <c r="I92" s="32">
        <v>0</v>
      </c>
      <c r="J92" s="32">
        <v>0</v>
      </c>
      <c r="K92" s="32">
        <v>0</v>
      </c>
      <c r="L92" s="104"/>
    </row>
    <row r="93" spans="1:14" ht="15.75" x14ac:dyDescent="0.2">
      <c r="B93" s="120" t="s">
        <v>102</v>
      </c>
      <c r="C93" s="75"/>
      <c r="D93" s="32">
        <v>0</v>
      </c>
      <c r="E93" s="32">
        <v>0</v>
      </c>
      <c r="F93" s="32">
        <v>0</v>
      </c>
      <c r="G93" s="32">
        <v>0</v>
      </c>
      <c r="H93" s="32">
        <v>0</v>
      </c>
      <c r="I93" s="32">
        <v>0</v>
      </c>
      <c r="J93" s="32">
        <v>0</v>
      </c>
      <c r="K93" s="32">
        <v>0</v>
      </c>
      <c r="L93" s="104"/>
    </row>
    <row r="94" spans="1:14" ht="15.75" x14ac:dyDescent="0.2">
      <c r="B94" s="120" t="s">
        <v>103</v>
      </c>
      <c r="C94" s="112"/>
      <c r="D94" s="32">
        <v>0</v>
      </c>
      <c r="E94" s="32">
        <v>0</v>
      </c>
      <c r="F94" s="32">
        <v>0</v>
      </c>
      <c r="G94" s="32">
        <v>0</v>
      </c>
      <c r="H94" s="32">
        <v>0</v>
      </c>
      <c r="I94" s="32">
        <v>0</v>
      </c>
      <c r="J94" s="32">
        <v>0</v>
      </c>
      <c r="K94" s="32">
        <v>0</v>
      </c>
      <c r="L94" s="104"/>
    </row>
    <row r="95" spans="1:14" x14ac:dyDescent="0.2">
      <c r="B95" s="124" t="s">
        <v>46</v>
      </c>
      <c r="C95" s="123">
        <f>SUM(C91:C94)</f>
        <v>0</v>
      </c>
      <c r="D95" s="129">
        <f>D89*SUM(D91:D94)/2</f>
        <v>0</v>
      </c>
      <c r="E95" s="129">
        <f t="shared" ref="E95" si="44">E89*SUM(E91:E94)/2</f>
        <v>0</v>
      </c>
      <c r="F95" s="129">
        <f t="shared" ref="F95" si="45">F89*SUM(F91:F94)/2</f>
        <v>0</v>
      </c>
      <c r="G95" s="129">
        <f t="shared" ref="G95" si="46">G89*SUM(G91:G94)/2</f>
        <v>0</v>
      </c>
      <c r="H95" s="129">
        <f t="shared" ref="H95" si="47">H89*SUM(H91:H94)/2</f>
        <v>0</v>
      </c>
      <c r="I95" s="129">
        <f t="shared" ref="I95" si="48">I89*SUM(I91:I94)/2</f>
        <v>0</v>
      </c>
      <c r="J95" s="129">
        <f t="shared" ref="J95" si="49">J89*SUM(J91:J94)/2</f>
        <v>0</v>
      </c>
      <c r="K95" s="129">
        <f t="shared" ref="K95" si="50">K89*SUM(K91:K94)/2</f>
        <v>0</v>
      </c>
      <c r="L95" s="104"/>
    </row>
    <row r="96" spans="1:14" x14ac:dyDescent="0.2">
      <c r="B96" s="77" t="s">
        <v>45</v>
      </c>
      <c r="C96" s="80"/>
      <c r="D96" s="149">
        <f>D95+E95</f>
        <v>0</v>
      </c>
      <c r="E96" s="149"/>
      <c r="F96" s="149">
        <f t="shared" ref="F96" si="51">F95+G95</f>
        <v>0</v>
      </c>
      <c r="G96" s="149"/>
      <c r="H96" s="149">
        <f t="shared" ref="H96" si="52">H95+I95</f>
        <v>0</v>
      </c>
      <c r="I96" s="149"/>
      <c r="J96" s="149">
        <f t="shared" ref="J96" si="53">J95+K95</f>
        <v>0</v>
      </c>
      <c r="K96" s="149"/>
      <c r="L96" s="104">
        <f>SUM(D96:K96)</f>
        <v>0</v>
      </c>
    </row>
  </sheetData>
  <mergeCells count="60">
    <mergeCell ref="B5:L6"/>
    <mergeCell ref="B21:L22"/>
    <mergeCell ref="B37:L38"/>
    <mergeCell ref="B53:L54"/>
    <mergeCell ref="B69:L70"/>
    <mergeCell ref="J48:K48"/>
    <mergeCell ref="D48:E48"/>
    <mergeCell ref="F48:G48"/>
    <mergeCell ref="H48:I48"/>
    <mergeCell ref="L40:L41"/>
    <mergeCell ref="F40:G40"/>
    <mergeCell ref="H40:I40"/>
    <mergeCell ref="J40:K40"/>
    <mergeCell ref="D40:E40"/>
    <mergeCell ref="D32:E32"/>
    <mergeCell ref="F32:G32"/>
    <mergeCell ref="L56:L57"/>
    <mergeCell ref="L72:L73"/>
    <mergeCell ref="D56:E56"/>
    <mergeCell ref="F56:G56"/>
    <mergeCell ref="H56:I56"/>
    <mergeCell ref="J56:K56"/>
    <mergeCell ref="L88:L89"/>
    <mergeCell ref="H88:I88"/>
    <mergeCell ref="J88:K88"/>
    <mergeCell ref="D72:E72"/>
    <mergeCell ref="F72:G72"/>
    <mergeCell ref="H72:I72"/>
    <mergeCell ref="B85:L86"/>
    <mergeCell ref="H32:I32"/>
    <mergeCell ref="J32:K32"/>
    <mergeCell ref="L8:L9"/>
    <mergeCell ref="L24:L25"/>
    <mergeCell ref="D16:E16"/>
    <mergeCell ref="F16:G16"/>
    <mergeCell ref="H16:I16"/>
    <mergeCell ref="J16:K16"/>
    <mergeCell ref="J8:K8"/>
    <mergeCell ref="D24:E24"/>
    <mergeCell ref="F24:G24"/>
    <mergeCell ref="H24:I24"/>
    <mergeCell ref="J24:K24"/>
    <mergeCell ref="D8:E8"/>
    <mergeCell ref="F8:G8"/>
    <mergeCell ref="H8:I8"/>
    <mergeCell ref="D96:E96"/>
    <mergeCell ref="F96:G96"/>
    <mergeCell ref="H96:I96"/>
    <mergeCell ref="J96:K96"/>
    <mergeCell ref="D64:E64"/>
    <mergeCell ref="F64:G64"/>
    <mergeCell ref="H64:I64"/>
    <mergeCell ref="J64:K64"/>
    <mergeCell ref="D80:E80"/>
    <mergeCell ref="F80:G80"/>
    <mergeCell ref="H80:I80"/>
    <mergeCell ref="J80:K80"/>
    <mergeCell ref="J72:K72"/>
    <mergeCell ref="D88:E88"/>
    <mergeCell ref="F88:G88"/>
  </mergeCells>
  <conditionalFormatting sqref="C47 C15 C31 C63 C79 C95">
    <cfRule type="cellIs" priority="8" stopIfTrue="1" operator="equal">
      <formula>0%</formula>
    </cfRule>
    <cfRule type="cellIs" dxfId="12" priority="9" operator="notEqual">
      <formula>100%</formula>
    </cfRule>
    <cfRule type="cellIs" dxfId="11" priority="10" operator="equal">
      <formula>100%</formula>
    </cfRule>
  </conditionalFormatting>
  <conditionalFormatting sqref="D15">
    <cfRule type="expression" dxfId="10" priority="6">
      <formula>D15&gt;D9</formula>
    </cfRule>
  </conditionalFormatting>
  <conditionalFormatting sqref="D15:K15">
    <cfRule type="expression" dxfId="9" priority="5">
      <formula>D15&gt;D9</formula>
    </cfRule>
  </conditionalFormatting>
  <conditionalFormatting sqref="D9:K9">
    <cfRule type="expression" dxfId="8" priority="4">
      <formula>D15&gt;D9</formula>
    </cfRule>
  </conditionalFormatting>
  <conditionalFormatting sqref="D89:K89 D73:K73 D57:K57 D41:K41 D25:K25">
    <cfRule type="expression" dxfId="7" priority="3">
      <formula>D31&gt;D25</formula>
    </cfRule>
  </conditionalFormatting>
  <conditionalFormatting sqref="D95 D79 D63 D47 D31">
    <cfRule type="expression" dxfId="6" priority="2">
      <formula>D31&gt;D25</formula>
    </cfRule>
  </conditionalFormatting>
  <conditionalFormatting sqref="D95:K95 D79:K79 D63:K63 D47:K47 D31:K31">
    <cfRule type="expression" dxfId="5" priority="1">
      <formula>D31&gt;D25</formula>
    </cfRule>
  </conditionalFormatting>
  <dataValidations count="1">
    <dataValidation type="whole" errorStyle="information" allowBlank="1" showInputMessage="1" showErrorMessage="1" errorTitle="Invalid weighting" error="An incorrect weighting value was entered. Valid weighting values are 0, 1 and 2." promptTitle="KPI rating" prompt="Enter a value of 0, 1 or 2 to indicate KPI weighting." sqref="D59:K62 D75:K78 D91:K94 D11:K14 D27:K30 D43:K46">
      <formula1>0</formula1>
      <formula2>2</formula2>
    </dataValidation>
  </dataValidations>
  <pageMargins left="0.7" right="0.7" top="0.75" bottom="0.75" header="0.3" footer="0.3"/>
  <pageSetup paperSize="9" scale="5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K92"/>
  <sheetViews>
    <sheetView tabSelected="1" topLeftCell="A55" zoomScaleNormal="100" workbookViewId="0">
      <selection activeCell="M89" sqref="M89"/>
    </sheetView>
  </sheetViews>
  <sheetFormatPr defaultRowHeight="12.75" x14ac:dyDescent="0.2"/>
  <cols>
    <col min="1" max="1" width="2.28515625" style="2" customWidth="1"/>
    <col min="2" max="2" width="7.85546875" style="2" customWidth="1"/>
    <col min="3" max="3" width="25.7109375" style="8" customWidth="1"/>
    <col min="4" max="4" width="6.140625" style="9" bestFit="1" customWidth="1"/>
    <col min="5" max="10" width="17.85546875" style="3" customWidth="1"/>
    <col min="11" max="11" width="6" style="3" customWidth="1"/>
    <col min="12" max="12" width="15.140625" style="3" customWidth="1"/>
    <col min="13" max="13" width="12.42578125" style="3" customWidth="1"/>
    <col min="14" max="16384" width="9.140625" style="3"/>
  </cols>
  <sheetData>
    <row r="1" spans="1:10" s="78" customFormat="1" x14ac:dyDescent="0.2">
      <c r="A1" s="122"/>
      <c r="B1" s="122"/>
      <c r="C1" s="8"/>
      <c r="D1" s="9"/>
    </row>
    <row r="2" spans="1:10" s="78" customFormat="1" x14ac:dyDescent="0.2">
      <c r="A2" s="10"/>
      <c r="B2" s="10"/>
      <c r="C2" s="126"/>
      <c r="D2" s="127"/>
      <c r="E2" s="128"/>
      <c r="F2" s="128"/>
      <c r="G2" s="128"/>
      <c r="H2" s="128"/>
      <c r="I2" s="11" t="s">
        <v>108</v>
      </c>
      <c r="J2" s="12" t="s">
        <v>109</v>
      </c>
    </row>
    <row r="3" spans="1:10" s="122" customFormat="1" ht="12.75" customHeight="1" x14ac:dyDescent="0.2">
      <c r="A3" s="15"/>
      <c r="B3" s="158" t="s">
        <v>135</v>
      </c>
      <c r="C3" s="159"/>
      <c r="D3" s="159"/>
      <c r="E3" s="159"/>
      <c r="F3" s="159"/>
      <c r="G3" s="159"/>
      <c r="H3" s="159"/>
      <c r="I3" s="11" t="s">
        <v>105</v>
      </c>
      <c r="J3" s="12" t="s">
        <v>106</v>
      </c>
    </row>
    <row r="4" spans="1:10" s="122" customFormat="1" ht="12.75" customHeight="1" x14ac:dyDescent="0.2">
      <c r="A4" s="15"/>
      <c r="B4" s="159"/>
      <c r="C4" s="159"/>
      <c r="D4" s="159"/>
      <c r="E4" s="159"/>
      <c r="F4" s="159"/>
      <c r="G4" s="159"/>
      <c r="H4" s="159"/>
      <c r="I4" s="11" t="s">
        <v>107</v>
      </c>
      <c r="J4" s="12" t="s">
        <v>106</v>
      </c>
    </row>
    <row r="5" spans="1:10" s="2" customFormat="1" ht="12.75" customHeight="1" x14ac:dyDescent="0.2">
      <c r="A5" s="15"/>
      <c r="B5" s="190" t="s">
        <v>136</v>
      </c>
      <c r="C5" s="191"/>
      <c r="D5" s="191"/>
      <c r="E5" s="191"/>
      <c r="F5" s="191"/>
      <c r="G5" s="191"/>
      <c r="H5" s="191"/>
      <c r="I5" s="11" t="s">
        <v>0</v>
      </c>
      <c r="J5" s="13" t="s">
        <v>28</v>
      </c>
    </row>
    <row r="6" spans="1:10" s="2" customFormat="1" ht="12.75" customHeight="1" x14ac:dyDescent="0.2">
      <c r="A6" s="15"/>
      <c r="B6" s="191"/>
      <c r="C6" s="191"/>
      <c r="D6" s="191"/>
      <c r="E6" s="191"/>
      <c r="F6" s="191"/>
      <c r="G6" s="191"/>
      <c r="H6" s="191"/>
      <c r="I6" s="11" t="s">
        <v>1</v>
      </c>
      <c r="J6" s="12" t="s">
        <v>29</v>
      </c>
    </row>
    <row r="7" spans="1:10" s="2" customFormat="1" ht="22.5" x14ac:dyDescent="0.2">
      <c r="A7" s="15"/>
      <c r="B7" s="113"/>
      <c r="C7" s="113"/>
      <c r="D7" s="113"/>
      <c r="E7" s="113"/>
      <c r="F7" s="113"/>
      <c r="G7" s="16"/>
      <c r="H7" s="17"/>
      <c r="I7" s="11" t="s">
        <v>2</v>
      </c>
      <c r="J7" s="13" t="s">
        <v>30</v>
      </c>
    </row>
    <row r="8" spans="1:10" s="2" customFormat="1" x14ac:dyDescent="0.2">
      <c r="A8" s="15"/>
      <c r="B8" s="15"/>
      <c r="C8" s="14"/>
      <c r="D8" s="14"/>
      <c r="E8" s="10"/>
      <c r="F8" s="10"/>
      <c r="G8" s="10"/>
      <c r="H8" s="10"/>
      <c r="I8" s="10"/>
      <c r="J8" s="14"/>
    </row>
    <row r="9" spans="1:10" s="2" customFormat="1" ht="15.75" x14ac:dyDescent="0.2">
      <c r="A9" s="189"/>
      <c r="B9" s="189"/>
      <c r="C9" s="189"/>
      <c r="D9" s="189"/>
      <c r="E9" s="164" t="s">
        <v>56</v>
      </c>
      <c r="F9" s="164"/>
      <c r="G9" s="164"/>
      <c r="H9" s="164"/>
      <c r="I9" s="164"/>
      <c r="J9" s="164"/>
    </row>
    <row r="10" spans="1:10" s="18" customFormat="1" ht="15.75" x14ac:dyDescent="0.2">
      <c r="A10" s="173" t="s">
        <v>42</v>
      </c>
      <c r="B10" s="173"/>
      <c r="C10" s="173"/>
      <c r="D10" s="174"/>
      <c r="E10" s="1" t="s">
        <v>3</v>
      </c>
      <c r="F10" s="1" t="s">
        <v>4</v>
      </c>
      <c r="G10" s="1" t="s">
        <v>5</v>
      </c>
      <c r="H10" s="1" t="s">
        <v>6</v>
      </c>
      <c r="I10" s="1" t="s">
        <v>7</v>
      </c>
      <c r="J10" s="1" t="s">
        <v>8</v>
      </c>
    </row>
    <row r="11" spans="1:10" s="2" customFormat="1" ht="63.75" x14ac:dyDescent="0.2">
      <c r="A11" s="195"/>
      <c r="B11" s="196"/>
      <c r="C11" s="196"/>
      <c r="D11" s="197"/>
      <c r="E11" s="63" t="str">
        <f>Option1Title</f>
        <v>Business as usual / Do nothing</v>
      </c>
      <c r="F11" s="34" t="str">
        <f>Option2Title</f>
        <v>Close port and divert activities to Newtown Port</v>
      </c>
      <c r="G11" s="34" t="str">
        <f>Option3Title</f>
        <v>Focus on traditional bulk commodities at Oldtown Port and divert new industries to Newtown Port</v>
      </c>
      <c r="H11" s="34" t="str">
        <f>Option4Title</f>
        <v>Expand port operating hours, minimal infrastructure</v>
      </c>
      <c r="I11" s="34" t="str">
        <f>Option5Title</f>
        <v>Build capacity for future growth in demand</v>
      </c>
      <c r="J11" s="34" t="str">
        <f>Option6Title</f>
        <v>&lt;Option 6 title&gt;</v>
      </c>
    </row>
    <row r="12" spans="1:10" ht="30" customHeight="1" x14ac:dyDescent="0.2">
      <c r="A12" s="199" t="s">
        <v>111</v>
      </c>
      <c r="B12" s="200"/>
      <c r="C12" s="200"/>
      <c r="D12" s="201"/>
      <c r="E12" s="83">
        <v>1</v>
      </c>
      <c r="F12" s="83">
        <v>0.15</v>
      </c>
      <c r="G12" s="83"/>
      <c r="H12" s="83"/>
      <c r="I12" s="83"/>
      <c r="J12" s="79"/>
    </row>
    <row r="13" spans="1:10" s="142" customFormat="1" ht="30" customHeight="1" x14ac:dyDescent="0.2">
      <c r="A13" s="199" t="s">
        <v>118</v>
      </c>
      <c r="B13" s="200"/>
      <c r="C13" s="200"/>
      <c r="D13" s="201"/>
      <c r="E13" s="144"/>
      <c r="F13" s="144">
        <v>0.5</v>
      </c>
      <c r="G13" s="144"/>
      <c r="H13" s="144"/>
      <c r="I13" s="144"/>
      <c r="J13" s="143"/>
    </row>
    <row r="14" spans="1:10" s="142" customFormat="1" ht="30" customHeight="1" x14ac:dyDescent="0.2">
      <c r="A14" s="199" t="s">
        <v>119</v>
      </c>
      <c r="B14" s="200"/>
      <c r="C14" s="200"/>
      <c r="D14" s="201"/>
      <c r="E14" s="144"/>
      <c r="F14" s="144">
        <v>0.35</v>
      </c>
      <c r="G14" s="144"/>
      <c r="H14" s="144"/>
      <c r="I14" s="144"/>
      <c r="J14" s="143"/>
    </row>
    <row r="15" spans="1:10" s="142" customFormat="1" ht="30" customHeight="1" x14ac:dyDescent="0.2">
      <c r="A15" s="199" t="s">
        <v>122</v>
      </c>
      <c r="B15" s="200"/>
      <c r="C15" s="200"/>
      <c r="D15" s="201"/>
      <c r="E15" s="144"/>
      <c r="F15" s="144"/>
      <c r="G15" s="144">
        <v>0.1</v>
      </c>
      <c r="H15" s="144">
        <v>0.3</v>
      </c>
      <c r="I15" s="144">
        <v>0.15</v>
      </c>
      <c r="J15" s="143"/>
    </row>
    <row r="16" spans="1:10" s="142" customFormat="1" ht="30" customHeight="1" x14ac:dyDescent="0.2">
      <c r="A16" s="199" t="s">
        <v>123</v>
      </c>
      <c r="B16" s="200"/>
      <c r="C16" s="200"/>
      <c r="D16" s="201"/>
      <c r="E16" s="144"/>
      <c r="F16" s="144"/>
      <c r="G16" s="144">
        <v>0.2</v>
      </c>
      <c r="H16" s="144"/>
      <c r="I16" s="144"/>
      <c r="J16" s="143"/>
    </row>
    <row r="17" spans="1:10" s="142" customFormat="1" ht="30" customHeight="1" x14ac:dyDescent="0.2">
      <c r="A17" s="199" t="s">
        <v>124</v>
      </c>
      <c r="B17" s="200"/>
      <c r="C17" s="200"/>
      <c r="D17" s="201"/>
      <c r="E17" s="144"/>
      <c r="F17" s="144"/>
      <c r="G17" s="144">
        <v>0.4</v>
      </c>
      <c r="H17" s="144"/>
      <c r="I17" s="144"/>
      <c r="J17" s="143"/>
    </row>
    <row r="18" spans="1:10" s="142" customFormat="1" ht="30" customHeight="1" x14ac:dyDescent="0.2">
      <c r="A18" s="199" t="s">
        <v>125</v>
      </c>
      <c r="B18" s="200"/>
      <c r="C18" s="200"/>
      <c r="D18" s="201"/>
      <c r="E18" s="144"/>
      <c r="F18" s="144"/>
      <c r="G18" s="144">
        <v>0.3</v>
      </c>
      <c r="H18" s="144"/>
      <c r="I18" s="144"/>
      <c r="J18" s="143"/>
    </row>
    <row r="19" spans="1:10" s="142" customFormat="1" ht="30" customHeight="1" x14ac:dyDescent="0.2">
      <c r="A19" s="199" t="s">
        <v>128</v>
      </c>
      <c r="B19" s="200"/>
      <c r="C19" s="200"/>
      <c r="D19" s="201"/>
      <c r="E19" s="144"/>
      <c r="F19" s="144"/>
      <c r="G19" s="144"/>
      <c r="H19" s="144">
        <v>0.2</v>
      </c>
      <c r="I19" s="144"/>
      <c r="J19" s="143"/>
    </row>
    <row r="20" spans="1:10" s="142" customFormat="1" ht="30" customHeight="1" x14ac:dyDescent="0.2">
      <c r="A20" s="199" t="s">
        <v>129</v>
      </c>
      <c r="B20" s="200"/>
      <c r="C20" s="200"/>
      <c r="D20" s="201"/>
      <c r="E20" s="144"/>
      <c r="F20" s="144"/>
      <c r="G20" s="144"/>
      <c r="H20" s="144">
        <v>0.5</v>
      </c>
      <c r="I20" s="144"/>
      <c r="J20" s="143"/>
    </row>
    <row r="21" spans="1:10" s="142" customFormat="1" ht="30" customHeight="1" x14ac:dyDescent="0.2">
      <c r="A21" s="199" t="s">
        <v>132</v>
      </c>
      <c r="B21" s="200"/>
      <c r="C21" s="200"/>
      <c r="D21" s="201"/>
      <c r="E21" s="144"/>
      <c r="F21" s="144"/>
      <c r="G21" s="144"/>
      <c r="H21" s="144"/>
      <c r="I21" s="144">
        <v>0.2</v>
      </c>
      <c r="J21" s="143"/>
    </row>
    <row r="22" spans="1:10" s="142" customFormat="1" ht="30" customHeight="1" x14ac:dyDescent="0.2">
      <c r="A22" s="199" t="s">
        <v>133</v>
      </c>
      <c r="B22" s="200"/>
      <c r="C22" s="200"/>
      <c r="D22" s="201"/>
      <c r="E22" s="144"/>
      <c r="F22" s="144"/>
      <c r="G22" s="144"/>
      <c r="H22" s="144"/>
      <c r="I22" s="144">
        <v>0.5</v>
      </c>
      <c r="J22" s="143"/>
    </row>
    <row r="23" spans="1:10" s="142" customFormat="1" ht="30" customHeight="1" x14ac:dyDescent="0.2">
      <c r="A23" s="199" t="s">
        <v>134</v>
      </c>
      <c r="B23" s="200"/>
      <c r="C23" s="200"/>
      <c r="D23" s="201"/>
      <c r="E23" s="144"/>
      <c r="F23" s="144"/>
      <c r="G23" s="144"/>
      <c r="H23" s="144"/>
      <c r="I23" s="144">
        <v>0.15</v>
      </c>
      <c r="J23" s="143"/>
    </row>
    <row r="24" spans="1:10" s="78" customFormat="1" x14ac:dyDescent="0.2">
      <c r="A24" s="195"/>
      <c r="B24" s="198"/>
      <c r="C24" s="198"/>
      <c r="D24" s="198"/>
      <c r="E24" s="63"/>
      <c r="F24" s="79"/>
      <c r="G24" s="79"/>
      <c r="H24" s="79"/>
      <c r="I24" s="79"/>
      <c r="J24" s="79"/>
    </row>
    <row r="25" spans="1:10" ht="15.75" customHeight="1" x14ac:dyDescent="0.2">
      <c r="A25" s="203" t="s">
        <v>12</v>
      </c>
      <c r="B25" s="204"/>
      <c r="C25" s="204"/>
      <c r="D25" s="205"/>
      <c r="E25" s="74">
        <f t="shared" ref="E25:J25" si="0">SUM(E12:E24)</f>
        <v>1</v>
      </c>
      <c r="F25" s="74">
        <f t="shared" si="0"/>
        <v>1</v>
      </c>
      <c r="G25" s="74">
        <f t="shared" si="0"/>
        <v>1</v>
      </c>
      <c r="H25" s="74">
        <f t="shared" si="0"/>
        <v>1</v>
      </c>
      <c r="I25" s="74">
        <f t="shared" si="0"/>
        <v>1</v>
      </c>
      <c r="J25" s="74">
        <f t="shared" si="0"/>
        <v>0</v>
      </c>
    </row>
    <row r="26" spans="1:10" x14ac:dyDescent="0.2">
      <c r="A26" s="169" t="s">
        <v>13</v>
      </c>
      <c r="B26" s="169"/>
      <c r="C26" s="169"/>
      <c r="D26" s="169"/>
      <c r="E26" s="169"/>
      <c r="F26" s="169"/>
      <c r="G26" s="169"/>
      <c r="H26" s="169"/>
      <c r="I26" s="169"/>
      <c r="J26" s="169"/>
    </row>
    <row r="27" spans="1:10" x14ac:dyDescent="0.2">
      <c r="A27" s="4">
        <v>1</v>
      </c>
      <c r="B27" s="172" t="s">
        <v>65</v>
      </c>
      <c r="C27" s="172"/>
      <c r="D27" s="172"/>
      <c r="E27" s="172"/>
      <c r="F27" s="172"/>
      <c r="G27" s="172"/>
      <c r="H27" s="172"/>
      <c r="I27" s="172"/>
      <c r="J27" s="172"/>
    </row>
    <row r="28" spans="1:10" x14ac:dyDescent="0.2">
      <c r="A28" s="4">
        <v>2</v>
      </c>
      <c r="B28" s="172" t="s">
        <v>66</v>
      </c>
      <c r="C28" s="172"/>
      <c r="D28" s="172"/>
      <c r="E28" s="172"/>
      <c r="F28" s="172"/>
      <c r="G28" s="172"/>
      <c r="H28" s="172"/>
      <c r="I28" s="172"/>
      <c r="J28" s="172"/>
    </row>
    <row r="29" spans="1:10" x14ac:dyDescent="0.2">
      <c r="A29" s="4">
        <v>3</v>
      </c>
      <c r="B29" s="172" t="s">
        <v>57</v>
      </c>
      <c r="C29" s="172"/>
      <c r="D29" s="172"/>
      <c r="E29" s="172"/>
      <c r="F29" s="172"/>
      <c r="G29" s="172"/>
      <c r="H29" s="172"/>
      <c r="I29" s="172"/>
      <c r="J29" s="172"/>
    </row>
    <row r="30" spans="1:10" ht="25.5" customHeight="1" x14ac:dyDescent="0.2">
      <c r="A30" s="4">
        <v>4</v>
      </c>
      <c r="B30" s="172" t="s">
        <v>98</v>
      </c>
      <c r="C30" s="172"/>
      <c r="D30" s="172"/>
      <c r="E30" s="172"/>
      <c r="F30" s="172"/>
      <c r="G30" s="172"/>
      <c r="H30" s="172"/>
      <c r="I30" s="172"/>
      <c r="J30" s="172"/>
    </row>
    <row r="31" spans="1:10" x14ac:dyDescent="0.2">
      <c r="A31" s="4">
        <v>5</v>
      </c>
      <c r="B31" s="172" t="s">
        <v>67</v>
      </c>
      <c r="C31" s="172"/>
      <c r="D31" s="172"/>
      <c r="E31" s="172"/>
      <c r="F31" s="172"/>
      <c r="G31" s="172"/>
      <c r="H31" s="172"/>
      <c r="I31" s="172"/>
      <c r="J31" s="172"/>
    </row>
    <row r="32" spans="1:10" s="67" customFormat="1" x14ac:dyDescent="0.2">
      <c r="A32" s="65"/>
      <c r="B32" s="66"/>
      <c r="C32" s="66"/>
      <c r="D32" s="66"/>
      <c r="E32" s="66"/>
      <c r="F32" s="66"/>
      <c r="G32" s="66"/>
      <c r="H32" s="66"/>
      <c r="I32" s="66"/>
      <c r="J32" s="66"/>
    </row>
    <row r="33" spans="1:10" s="2" customFormat="1" ht="15.75" x14ac:dyDescent="0.2">
      <c r="A33" s="189"/>
      <c r="B33" s="189"/>
      <c r="C33" s="189"/>
      <c r="D33" s="189"/>
      <c r="E33" s="164" t="s">
        <v>56</v>
      </c>
      <c r="F33" s="164"/>
      <c r="G33" s="164"/>
      <c r="H33" s="164"/>
      <c r="I33" s="164"/>
      <c r="J33" s="164"/>
    </row>
    <row r="34" spans="1:10" s="18" customFormat="1" ht="15.75" x14ac:dyDescent="0.2">
      <c r="A34" s="163" t="s">
        <v>20</v>
      </c>
      <c r="B34" s="163"/>
      <c r="C34" s="163"/>
      <c r="D34" s="163"/>
      <c r="E34" s="19" t="s">
        <v>3</v>
      </c>
      <c r="F34" s="19" t="s">
        <v>4</v>
      </c>
      <c r="G34" s="19" t="s">
        <v>5</v>
      </c>
      <c r="H34" s="19" t="s">
        <v>6</v>
      </c>
      <c r="I34" s="19" t="s">
        <v>7</v>
      </c>
      <c r="J34" s="19" t="s">
        <v>8</v>
      </c>
    </row>
    <row r="35" spans="1:10" s="2" customFormat="1" x14ac:dyDescent="0.2">
      <c r="A35" s="202"/>
      <c r="B35" s="202"/>
      <c r="C35" s="202"/>
      <c r="D35" s="202"/>
      <c r="E35" s="177" t="str">
        <f t="shared" ref="E35:J35" si="1">E11</f>
        <v>Business as usual / Do nothing</v>
      </c>
      <c r="F35" s="177" t="str">
        <f t="shared" si="1"/>
        <v>Close port and divert activities to Newtown Port</v>
      </c>
      <c r="G35" s="177" t="str">
        <f t="shared" si="1"/>
        <v>Focus on traditional bulk commodities at Oldtown Port and divert new industries to Newtown Port</v>
      </c>
      <c r="H35" s="177" t="str">
        <f t="shared" si="1"/>
        <v>Expand port operating hours, minimal infrastructure</v>
      </c>
      <c r="I35" s="177" t="str">
        <f t="shared" si="1"/>
        <v>Build capacity for future growth in demand</v>
      </c>
      <c r="J35" s="177" t="str">
        <f t="shared" si="1"/>
        <v>&lt;Option 6 title&gt;</v>
      </c>
    </row>
    <row r="36" spans="1:10" s="5" customFormat="1" ht="15.75" x14ac:dyDescent="0.2">
      <c r="A36" s="163"/>
      <c r="B36" s="163"/>
      <c r="C36" s="163"/>
      <c r="D36" s="163"/>
      <c r="E36" s="177"/>
      <c r="F36" s="177"/>
      <c r="G36" s="177"/>
      <c r="H36" s="177"/>
      <c r="I36" s="177"/>
      <c r="J36" s="177"/>
    </row>
    <row r="37" spans="1:10" s="18" customFormat="1" ht="15.75" x14ac:dyDescent="0.2">
      <c r="A37" s="173" t="s">
        <v>14</v>
      </c>
      <c r="B37" s="173"/>
      <c r="C37" s="173"/>
      <c r="D37" s="174"/>
      <c r="E37" s="35">
        <f>Option1WeightedBenefit</f>
        <v>0.1</v>
      </c>
      <c r="F37" s="35">
        <f>Option2WeightedBenefit</f>
        <v>0.7</v>
      </c>
      <c r="G37" s="35">
        <f>Option3WeightedBenefit</f>
        <v>0.875</v>
      </c>
      <c r="H37" s="35">
        <f>Option4WeightedBenefit</f>
        <v>0.47500000000000003</v>
      </c>
      <c r="I37" s="35">
        <f>Option5WeightedBenefit</f>
        <v>0.9</v>
      </c>
      <c r="J37" s="35">
        <f>Option6WeightedBenefit</f>
        <v>0</v>
      </c>
    </row>
    <row r="38" spans="1:10" ht="25.5" x14ac:dyDescent="0.2">
      <c r="A38" s="170" t="s">
        <v>9</v>
      </c>
      <c r="B38" s="171"/>
      <c r="C38" s="26" t="s">
        <v>137</v>
      </c>
      <c r="D38" s="20">
        <v>0.65</v>
      </c>
      <c r="E38" s="36">
        <f>Option1Benefit1</f>
        <v>0</v>
      </c>
      <c r="F38" s="36">
        <f>Option2Benefit1</f>
        <v>0.52500000000000002</v>
      </c>
      <c r="G38" s="36">
        <f>Option3Benefit1</f>
        <v>0.52500000000000002</v>
      </c>
      <c r="H38" s="36">
        <f>Option4Benefit1</f>
        <v>0.2</v>
      </c>
      <c r="I38" s="36">
        <f>Option5Benefit1</f>
        <v>0.65</v>
      </c>
      <c r="J38" s="36">
        <f>Option6Benefit1</f>
        <v>0</v>
      </c>
    </row>
    <row r="39" spans="1:10" ht="25.5" x14ac:dyDescent="0.2">
      <c r="A39" s="170" t="s">
        <v>10</v>
      </c>
      <c r="B39" s="171"/>
      <c r="C39" s="26" t="s">
        <v>138</v>
      </c>
      <c r="D39" s="20">
        <v>0.35</v>
      </c>
      <c r="E39" s="36">
        <f>Option1Benefit2</f>
        <v>0.1</v>
      </c>
      <c r="F39" s="36">
        <f>Option2Benefit2</f>
        <v>0.17499999999999999</v>
      </c>
      <c r="G39" s="36">
        <f>Option3Benefit2</f>
        <v>0.35</v>
      </c>
      <c r="H39" s="36">
        <f>Option4Benefit2</f>
        <v>0.27500000000000002</v>
      </c>
      <c r="I39" s="36">
        <f>Option5Benefit2</f>
        <v>0.25</v>
      </c>
      <c r="J39" s="36">
        <f>Option6Benefit2</f>
        <v>0</v>
      </c>
    </row>
    <row r="40" spans="1:10" x14ac:dyDescent="0.2">
      <c r="A40" s="170" t="s">
        <v>11</v>
      </c>
      <c r="B40" s="171"/>
      <c r="C40" s="28" t="s">
        <v>22</v>
      </c>
      <c r="D40" s="20"/>
      <c r="E40" s="36">
        <f>Option1Benefit3</f>
        <v>0</v>
      </c>
      <c r="F40" s="36">
        <f>Option2Benefit3</f>
        <v>0</v>
      </c>
      <c r="G40" s="36">
        <f>Option3Benefit3</f>
        <v>0</v>
      </c>
      <c r="H40" s="36">
        <f>Option4Benefit3</f>
        <v>0</v>
      </c>
      <c r="I40" s="36">
        <f>Option5Benefit3</f>
        <v>0</v>
      </c>
      <c r="J40" s="36">
        <f>Option6Benefit3</f>
        <v>0</v>
      </c>
    </row>
    <row r="41" spans="1:10" x14ac:dyDescent="0.2">
      <c r="A41" s="170" t="s">
        <v>41</v>
      </c>
      <c r="B41" s="171"/>
      <c r="C41" s="26" t="s">
        <v>22</v>
      </c>
      <c r="D41" s="20"/>
      <c r="E41" s="36">
        <f>Option1Benefit4</f>
        <v>0</v>
      </c>
      <c r="F41" s="36">
        <f>Option2Benefit4</f>
        <v>0</v>
      </c>
      <c r="G41" s="36">
        <f>Option3Benefit4</f>
        <v>0</v>
      </c>
      <c r="H41" s="36">
        <f>Option4Benefit4</f>
        <v>0</v>
      </c>
      <c r="I41" s="36">
        <f>Option5Benefit4</f>
        <v>0</v>
      </c>
      <c r="J41" s="36">
        <f>Option6Benefit4</f>
        <v>0</v>
      </c>
    </row>
    <row r="42" spans="1:10" ht="14.25" customHeight="1" x14ac:dyDescent="0.2">
      <c r="A42" s="162"/>
      <c r="B42" s="161"/>
      <c r="C42" s="121"/>
      <c r="D42" s="20"/>
      <c r="E42" s="36"/>
      <c r="F42" s="36"/>
      <c r="G42" s="36"/>
      <c r="H42" s="36"/>
      <c r="I42" s="36"/>
      <c r="J42" s="36"/>
    </row>
    <row r="43" spans="1:10" s="21" customFormat="1" ht="15.75" x14ac:dyDescent="0.2">
      <c r="A43" s="163" t="s">
        <v>60</v>
      </c>
      <c r="B43" s="163"/>
      <c r="C43" s="163"/>
      <c r="D43" s="163"/>
      <c r="E43" s="163"/>
      <c r="F43" s="163"/>
      <c r="G43" s="163"/>
      <c r="H43" s="163"/>
      <c r="I43" s="163"/>
      <c r="J43" s="163"/>
    </row>
    <row r="44" spans="1:10" s="2" customFormat="1" ht="63.75" x14ac:dyDescent="0.2">
      <c r="A44" s="160" t="s">
        <v>61</v>
      </c>
      <c r="B44" s="160"/>
      <c r="C44" s="160"/>
      <c r="D44" s="160"/>
      <c r="E44" s="146" t="s">
        <v>139</v>
      </c>
      <c r="F44" s="146" t="s">
        <v>140</v>
      </c>
      <c r="G44" s="146" t="s">
        <v>140</v>
      </c>
      <c r="H44" s="146" t="s">
        <v>141</v>
      </c>
      <c r="I44" s="146" t="s">
        <v>142</v>
      </c>
      <c r="J44" s="23" t="s">
        <v>62</v>
      </c>
    </row>
    <row r="45" spans="1:10" s="37" customFormat="1" ht="102" x14ac:dyDescent="0.2">
      <c r="A45" s="166" t="s">
        <v>23</v>
      </c>
      <c r="B45" s="167"/>
      <c r="C45" s="167"/>
      <c r="D45" s="168"/>
      <c r="E45" s="146" t="s">
        <v>143</v>
      </c>
      <c r="F45" s="146" t="s">
        <v>144</v>
      </c>
      <c r="G45" s="146" t="s">
        <v>145</v>
      </c>
      <c r="H45" s="146" t="s">
        <v>146</v>
      </c>
      <c r="I45" s="146" t="s">
        <v>147</v>
      </c>
      <c r="J45" s="23" t="s">
        <v>62</v>
      </c>
    </row>
    <row r="46" spans="1:10" s="37" customFormat="1" ht="153" x14ac:dyDescent="0.2">
      <c r="A46" s="166" t="s">
        <v>54</v>
      </c>
      <c r="B46" s="167"/>
      <c r="C46" s="167"/>
      <c r="D46" s="168"/>
      <c r="E46" s="146" t="s">
        <v>148</v>
      </c>
      <c r="F46" s="146" t="s">
        <v>149</v>
      </c>
      <c r="G46" s="146" t="s">
        <v>150</v>
      </c>
      <c r="H46" s="146" t="s">
        <v>151</v>
      </c>
      <c r="I46" s="146" t="s">
        <v>152</v>
      </c>
      <c r="J46" s="23" t="s">
        <v>62</v>
      </c>
    </row>
    <row r="47" spans="1:10" s="2" customFormat="1" ht="127.5" x14ac:dyDescent="0.2">
      <c r="A47" s="160" t="s">
        <v>55</v>
      </c>
      <c r="B47" s="160"/>
      <c r="C47" s="160"/>
      <c r="D47" s="160"/>
      <c r="E47" s="146" t="s">
        <v>153</v>
      </c>
      <c r="F47" s="146" t="s">
        <v>154</v>
      </c>
      <c r="G47" s="146" t="s">
        <v>155</v>
      </c>
      <c r="H47" s="146"/>
      <c r="I47" s="146" t="s">
        <v>156</v>
      </c>
      <c r="J47" s="23" t="s">
        <v>62</v>
      </c>
    </row>
    <row r="48" spans="1:10" s="44" customFormat="1" x14ac:dyDescent="0.2">
      <c r="A48" s="160"/>
      <c r="B48" s="161"/>
      <c r="C48" s="161"/>
      <c r="D48" s="161"/>
      <c r="E48" s="23"/>
      <c r="F48" s="23"/>
      <c r="G48" s="23"/>
      <c r="H48" s="23"/>
      <c r="I48" s="23"/>
      <c r="J48" s="23"/>
    </row>
    <row r="49" spans="1:11" s="38" customFormat="1" ht="15.75" x14ac:dyDescent="0.2">
      <c r="A49" s="163" t="s">
        <v>81</v>
      </c>
      <c r="B49" s="163"/>
      <c r="C49" s="163"/>
      <c r="D49" s="163"/>
      <c r="E49" s="163"/>
      <c r="F49" s="163"/>
      <c r="G49" s="163"/>
      <c r="H49" s="163"/>
      <c r="I49" s="163"/>
      <c r="J49" s="163"/>
    </row>
    <row r="50" spans="1:11" s="38" customFormat="1" ht="51" x14ac:dyDescent="0.2">
      <c r="A50" s="160" t="s">
        <v>83</v>
      </c>
      <c r="B50" s="160"/>
      <c r="C50" s="160"/>
      <c r="D50" s="160"/>
      <c r="E50" s="147" t="s">
        <v>157</v>
      </c>
      <c r="F50" s="147" t="s">
        <v>158</v>
      </c>
      <c r="G50" s="147" t="s">
        <v>159</v>
      </c>
      <c r="H50" s="147" t="s">
        <v>160</v>
      </c>
      <c r="I50" s="147" t="s">
        <v>161</v>
      </c>
      <c r="J50" s="23" t="s">
        <v>63</v>
      </c>
    </row>
    <row r="51" spans="1:11" s="38" customFormat="1" ht="51" x14ac:dyDescent="0.2">
      <c r="A51" s="166" t="s">
        <v>84</v>
      </c>
      <c r="B51" s="167"/>
      <c r="C51" s="167"/>
      <c r="D51" s="168"/>
      <c r="E51" s="147"/>
      <c r="F51" s="147" t="s">
        <v>162</v>
      </c>
      <c r="G51" s="147"/>
      <c r="H51" s="147" t="s">
        <v>163</v>
      </c>
      <c r="I51" s="147" t="s">
        <v>164</v>
      </c>
      <c r="J51" s="23" t="s">
        <v>63</v>
      </c>
    </row>
    <row r="52" spans="1:11" s="44" customFormat="1" x14ac:dyDescent="0.2">
      <c r="A52" s="160"/>
      <c r="B52" s="161"/>
      <c r="C52" s="161"/>
      <c r="D52" s="161"/>
      <c r="E52" s="23"/>
      <c r="F52" s="23"/>
      <c r="G52" s="23"/>
      <c r="H52" s="23"/>
      <c r="I52" s="23"/>
      <c r="J52" s="23"/>
    </row>
    <row r="53" spans="1:11" ht="15.75" x14ac:dyDescent="0.2">
      <c r="A53" s="163" t="s">
        <v>47</v>
      </c>
      <c r="B53" s="163"/>
      <c r="C53" s="163"/>
      <c r="D53" s="163"/>
      <c r="E53" s="163"/>
      <c r="F53" s="163"/>
      <c r="G53" s="163"/>
      <c r="H53" s="163"/>
      <c r="I53" s="163"/>
      <c r="J53" s="163"/>
    </row>
    <row r="54" spans="1:11" s="2" customFormat="1" ht="51" x14ac:dyDescent="0.2">
      <c r="A54" s="165" t="s">
        <v>58</v>
      </c>
      <c r="B54" s="165"/>
      <c r="C54" s="165"/>
      <c r="D54" s="165"/>
      <c r="E54" s="148"/>
      <c r="F54" s="148" t="s">
        <v>165</v>
      </c>
      <c r="G54" s="148" t="s">
        <v>165</v>
      </c>
      <c r="H54" s="148" t="s">
        <v>166</v>
      </c>
      <c r="I54" s="148" t="s">
        <v>167</v>
      </c>
      <c r="J54" s="23" t="s">
        <v>64</v>
      </c>
    </row>
    <row r="55" spans="1:11" s="2" customFormat="1" ht="51" x14ac:dyDescent="0.2">
      <c r="A55" s="165" t="s">
        <v>59</v>
      </c>
      <c r="B55" s="165"/>
      <c r="C55" s="165"/>
      <c r="D55" s="165"/>
      <c r="E55" s="148"/>
      <c r="F55" s="148" t="s">
        <v>168</v>
      </c>
      <c r="G55" s="148" t="s">
        <v>169</v>
      </c>
      <c r="H55" s="148" t="s">
        <v>170</v>
      </c>
      <c r="I55" s="148" t="s">
        <v>171</v>
      </c>
      <c r="J55" s="23" t="s">
        <v>64</v>
      </c>
    </row>
    <row r="56" spans="1:11" s="68" customFormat="1" x14ac:dyDescent="0.2">
      <c r="A56" s="160"/>
      <c r="B56" s="161"/>
      <c r="C56" s="161"/>
      <c r="D56" s="161"/>
      <c r="E56" s="23"/>
      <c r="F56" s="23"/>
      <c r="G56" s="23"/>
      <c r="H56" s="23"/>
      <c r="I56" s="23"/>
      <c r="J56" s="23"/>
    </row>
    <row r="57" spans="1:11" s="30" customFormat="1" ht="36.75" customHeight="1" x14ac:dyDescent="0.2">
      <c r="A57" s="180" t="s">
        <v>85</v>
      </c>
      <c r="B57" s="180"/>
      <c r="C57" s="180"/>
      <c r="D57" s="180"/>
      <c r="E57" s="125" t="s">
        <v>172</v>
      </c>
      <c r="F57" s="125" t="s">
        <v>104</v>
      </c>
      <c r="G57" s="125" t="s">
        <v>173</v>
      </c>
      <c r="H57" s="125" t="s">
        <v>172</v>
      </c>
      <c r="I57" s="125" t="s">
        <v>173</v>
      </c>
      <c r="J57" s="125" t="s">
        <v>82</v>
      </c>
    </row>
    <row r="58" spans="1:11" s="69" customFormat="1" ht="12" customHeight="1" x14ac:dyDescent="0.2">
      <c r="A58" s="39"/>
      <c r="B58" s="40"/>
      <c r="C58" s="40"/>
      <c r="D58" s="40"/>
      <c r="E58" s="41"/>
      <c r="F58" s="41"/>
      <c r="G58" s="41"/>
      <c r="H58" s="41"/>
      <c r="I58" s="41"/>
      <c r="J58" s="42"/>
    </row>
    <row r="59" spans="1:11" s="119" customFormat="1" ht="20.100000000000001" customHeight="1" x14ac:dyDescent="0.25">
      <c r="A59" s="192" t="s">
        <v>21</v>
      </c>
      <c r="B59" s="193"/>
      <c r="C59" s="193"/>
      <c r="D59" s="193"/>
      <c r="E59" s="117"/>
      <c r="F59" s="117"/>
      <c r="G59" s="117"/>
      <c r="H59" s="117"/>
      <c r="I59" s="117"/>
      <c r="J59" s="117"/>
      <c r="K59" s="118"/>
    </row>
    <row r="60" spans="1:11" x14ac:dyDescent="0.2">
      <c r="A60" s="165" t="s">
        <v>78</v>
      </c>
      <c r="B60" s="165"/>
      <c r="C60" s="165"/>
      <c r="D60" s="165"/>
      <c r="E60" s="22" t="s">
        <v>174</v>
      </c>
      <c r="F60" s="22" t="s">
        <v>175</v>
      </c>
      <c r="G60" s="22" t="s">
        <v>176</v>
      </c>
      <c r="H60" s="22" t="s">
        <v>177</v>
      </c>
      <c r="I60" s="22" t="s">
        <v>178</v>
      </c>
      <c r="J60" s="22" t="s">
        <v>24</v>
      </c>
    </row>
    <row r="61" spans="1:11" x14ac:dyDescent="0.2">
      <c r="A61" s="165" t="s">
        <v>79</v>
      </c>
      <c r="B61" s="165"/>
      <c r="C61" s="165"/>
      <c r="D61" s="165"/>
      <c r="E61" s="22" t="s">
        <v>179</v>
      </c>
      <c r="F61" s="22" t="s">
        <v>180</v>
      </c>
      <c r="G61" s="22" t="s">
        <v>180</v>
      </c>
      <c r="H61" s="22" t="s">
        <v>181</v>
      </c>
      <c r="I61" s="22" t="s">
        <v>180</v>
      </c>
      <c r="J61" s="22" t="s">
        <v>25</v>
      </c>
    </row>
    <row r="62" spans="1:11" s="115" customFormat="1" ht="20.100000000000001" customHeight="1" x14ac:dyDescent="0.25">
      <c r="A62" s="192" t="s">
        <v>27</v>
      </c>
      <c r="B62" s="194"/>
      <c r="C62" s="194"/>
      <c r="D62" s="194"/>
      <c r="E62" s="116"/>
      <c r="F62" s="116"/>
      <c r="G62" s="116"/>
      <c r="H62" s="116"/>
      <c r="I62" s="116"/>
      <c r="J62" s="116"/>
    </row>
    <row r="63" spans="1:11" s="30" customFormat="1" x14ac:dyDescent="0.2">
      <c r="A63" s="165" t="s">
        <v>15</v>
      </c>
      <c r="B63" s="165"/>
      <c r="C63" s="165"/>
      <c r="D63" s="165"/>
      <c r="E63" s="22" t="s">
        <v>182</v>
      </c>
      <c r="F63" s="22" t="s">
        <v>183</v>
      </c>
      <c r="G63" s="22" t="s">
        <v>184</v>
      </c>
      <c r="H63" s="22" t="s">
        <v>185</v>
      </c>
      <c r="I63" s="22" t="s">
        <v>186</v>
      </c>
      <c r="J63" s="22" t="s">
        <v>26</v>
      </c>
    </row>
    <row r="64" spans="1:11" s="115" customFormat="1" ht="20.100000000000001" customHeight="1" x14ac:dyDescent="0.25">
      <c r="A64" s="192" t="s">
        <v>16</v>
      </c>
      <c r="B64" s="194"/>
      <c r="C64" s="194"/>
      <c r="D64" s="194"/>
      <c r="E64" s="114"/>
      <c r="F64" s="114"/>
      <c r="G64" s="114"/>
      <c r="H64" s="114"/>
      <c r="I64" s="114"/>
      <c r="J64" s="114"/>
    </row>
    <row r="65" spans="1:10" ht="15.75" x14ac:dyDescent="0.2">
      <c r="A65" s="181" t="s">
        <v>99</v>
      </c>
      <c r="B65" s="182"/>
      <c r="C65" s="182"/>
      <c r="D65" s="183"/>
      <c r="E65" s="24"/>
      <c r="F65" s="24">
        <v>3</v>
      </c>
      <c r="G65" s="24">
        <v>2</v>
      </c>
      <c r="H65" s="24"/>
      <c r="I65" s="24">
        <v>1</v>
      </c>
      <c r="J65" s="24"/>
    </row>
    <row r="66" spans="1:10" ht="15.75" x14ac:dyDescent="0.2">
      <c r="A66" s="6"/>
      <c r="B66" s="7"/>
      <c r="C66" s="7"/>
      <c r="D66" s="7"/>
      <c r="E66" s="25"/>
      <c r="F66" s="25"/>
      <c r="G66" s="25"/>
      <c r="H66" s="25"/>
      <c r="I66" s="25"/>
      <c r="J66" s="25"/>
    </row>
    <row r="67" spans="1:10" ht="15.75" x14ac:dyDescent="0.2">
      <c r="A67" s="6"/>
      <c r="B67" s="7"/>
      <c r="C67" s="7"/>
      <c r="D67" s="7"/>
      <c r="E67" s="25"/>
      <c r="F67" s="25"/>
      <c r="G67" s="25"/>
      <c r="H67" s="25"/>
      <c r="I67" s="25"/>
      <c r="J67" s="25"/>
    </row>
    <row r="68" spans="1:10" ht="15.75" customHeight="1" x14ac:dyDescent="0.2">
      <c r="A68" s="187" t="s">
        <v>19</v>
      </c>
      <c r="B68" s="188"/>
      <c r="C68" s="188"/>
      <c r="D68" s="71"/>
      <c r="E68" s="185" t="s">
        <v>187</v>
      </c>
      <c r="F68" s="185"/>
      <c r="G68" s="185"/>
      <c r="H68" s="185"/>
      <c r="I68" s="185"/>
      <c r="J68" s="185"/>
    </row>
    <row r="69" spans="1:10" x14ac:dyDescent="0.2">
      <c r="A69" s="72"/>
      <c r="B69" s="72"/>
      <c r="C69" s="72"/>
      <c r="D69" s="73"/>
      <c r="E69" s="186"/>
      <c r="F69" s="186"/>
      <c r="G69" s="186"/>
      <c r="H69" s="186"/>
      <c r="I69" s="186"/>
      <c r="J69" s="186"/>
    </row>
    <row r="70" spans="1:10" s="67" customFormat="1" x14ac:dyDescent="0.2">
      <c r="A70" s="70"/>
      <c r="B70" s="70"/>
      <c r="C70" s="70"/>
      <c r="D70" s="70"/>
      <c r="E70" s="70"/>
      <c r="F70" s="70"/>
      <c r="G70" s="70"/>
      <c r="H70" s="70"/>
      <c r="I70" s="70"/>
      <c r="J70" s="70"/>
    </row>
    <row r="71" spans="1:10" ht="15.75" customHeight="1" x14ac:dyDescent="0.2">
      <c r="A71" s="187" t="s">
        <v>17</v>
      </c>
      <c r="B71" s="188"/>
      <c r="C71" s="188"/>
      <c r="D71" s="71"/>
      <c r="E71" s="185" t="s">
        <v>188</v>
      </c>
      <c r="F71" s="185"/>
      <c r="G71" s="185"/>
      <c r="H71" s="185"/>
      <c r="I71" s="185"/>
      <c r="J71" s="185"/>
    </row>
    <row r="72" spans="1:10" x14ac:dyDescent="0.2">
      <c r="A72" s="72"/>
      <c r="B72" s="72"/>
      <c r="C72" s="72"/>
      <c r="D72" s="73"/>
      <c r="E72" s="186"/>
      <c r="F72" s="186"/>
      <c r="G72" s="186"/>
      <c r="H72" s="186"/>
      <c r="I72" s="186"/>
      <c r="J72" s="186"/>
    </row>
    <row r="73" spans="1:10" s="67" customFormat="1" x14ac:dyDescent="0.2">
      <c r="A73" s="70"/>
      <c r="B73" s="70"/>
      <c r="C73" s="70"/>
      <c r="D73" s="70"/>
      <c r="E73" s="70"/>
      <c r="F73" s="70"/>
      <c r="G73" s="70"/>
      <c r="H73" s="70"/>
      <c r="I73" s="70"/>
      <c r="J73" s="70"/>
    </row>
    <row r="74" spans="1:10" s="27" customFormat="1" x14ac:dyDescent="0.2">
      <c r="A74" s="184" t="s">
        <v>18</v>
      </c>
      <c r="B74" s="184"/>
      <c r="C74" s="184"/>
      <c r="D74" s="184"/>
      <c r="E74" s="184"/>
      <c r="F74" s="184"/>
      <c r="G74" s="184"/>
      <c r="H74" s="184"/>
      <c r="I74" s="184"/>
      <c r="J74" s="184"/>
    </row>
    <row r="75" spans="1:10" x14ac:dyDescent="0.2">
      <c r="A75" s="4" t="s">
        <v>31</v>
      </c>
      <c r="B75" s="178" t="s">
        <v>53</v>
      </c>
      <c r="C75" s="178"/>
      <c r="D75" s="178"/>
      <c r="E75" s="178"/>
      <c r="F75" s="178"/>
      <c r="G75" s="178"/>
      <c r="H75" s="178"/>
      <c r="I75" s="178"/>
      <c r="J75" s="178"/>
    </row>
    <row r="76" spans="1:10" x14ac:dyDescent="0.2">
      <c r="A76" s="4" t="s">
        <v>32</v>
      </c>
      <c r="B76" s="176" t="s">
        <v>69</v>
      </c>
      <c r="C76" s="176"/>
      <c r="D76" s="176"/>
      <c r="E76" s="176"/>
      <c r="F76" s="176"/>
      <c r="G76" s="176"/>
      <c r="H76" s="176"/>
      <c r="I76" s="176"/>
      <c r="J76" s="176"/>
    </row>
    <row r="77" spans="1:10" x14ac:dyDescent="0.2">
      <c r="A77" s="4" t="s">
        <v>33</v>
      </c>
      <c r="B77" s="176" t="s">
        <v>70</v>
      </c>
      <c r="C77" s="176"/>
      <c r="D77" s="176"/>
      <c r="E77" s="176"/>
      <c r="F77" s="176"/>
      <c r="G77" s="176"/>
      <c r="H77" s="176"/>
      <c r="I77" s="176"/>
      <c r="J77" s="176"/>
    </row>
    <row r="78" spans="1:10" ht="24.75" customHeight="1" x14ac:dyDescent="0.2">
      <c r="A78" s="4" t="s">
        <v>34</v>
      </c>
      <c r="B78" s="176" t="s">
        <v>71</v>
      </c>
      <c r="C78" s="176"/>
      <c r="D78" s="176"/>
      <c r="E78" s="176"/>
      <c r="F78" s="176"/>
      <c r="G78" s="176"/>
      <c r="H78" s="176"/>
      <c r="I78" s="176"/>
      <c r="J78" s="176"/>
    </row>
    <row r="79" spans="1:10" ht="13.5" customHeight="1" x14ac:dyDescent="0.2">
      <c r="A79" s="4" t="s">
        <v>35</v>
      </c>
      <c r="B79" s="178" t="s">
        <v>72</v>
      </c>
      <c r="C79" s="178"/>
      <c r="D79" s="178"/>
      <c r="E79" s="178"/>
      <c r="F79" s="178"/>
      <c r="G79" s="178"/>
      <c r="H79" s="33"/>
      <c r="I79" s="29"/>
      <c r="J79" s="29"/>
    </row>
    <row r="80" spans="1:10" ht="12.75" customHeight="1" x14ac:dyDescent="0.2">
      <c r="A80" s="4" t="s">
        <v>36</v>
      </c>
      <c r="B80" s="178" t="s">
        <v>73</v>
      </c>
      <c r="C80" s="178"/>
      <c r="D80" s="178"/>
      <c r="E80" s="178"/>
      <c r="F80" s="178"/>
      <c r="G80" s="178"/>
      <c r="H80" s="178"/>
      <c r="I80" s="29"/>
      <c r="J80" s="29"/>
    </row>
    <row r="81" spans="1:10" x14ac:dyDescent="0.2">
      <c r="A81" s="4" t="s">
        <v>37</v>
      </c>
      <c r="B81" s="176" t="s">
        <v>68</v>
      </c>
      <c r="C81" s="176"/>
      <c r="D81" s="176"/>
      <c r="E81" s="176"/>
      <c r="F81" s="176"/>
      <c r="G81" s="176"/>
      <c r="H81" s="176"/>
      <c r="I81" s="176"/>
      <c r="J81" s="176"/>
    </row>
    <row r="82" spans="1:10" x14ac:dyDescent="0.2">
      <c r="A82" s="4" t="s">
        <v>38</v>
      </c>
      <c r="B82" s="178" t="s">
        <v>77</v>
      </c>
      <c r="C82" s="178"/>
      <c r="D82" s="178"/>
      <c r="E82" s="178"/>
      <c r="F82" s="178"/>
      <c r="G82" s="178"/>
      <c r="H82" s="178"/>
      <c r="I82" s="178"/>
      <c r="J82" s="178"/>
    </row>
    <row r="83" spans="1:10" ht="25.5" customHeight="1" x14ac:dyDescent="0.2">
      <c r="A83" s="4" t="s">
        <v>39</v>
      </c>
      <c r="B83" s="176" t="s">
        <v>80</v>
      </c>
      <c r="C83" s="176"/>
      <c r="D83" s="176"/>
      <c r="E83" s="176"/>
      <c r="F83" s="176"/>
      <c r="G83" s="176"/>
      <c r="H83" s="176"/>
      <c r="I83" s="176"/>
      <c r="J83" s="176"/>
    </row>
    <row r="84" spans="1:10" x14ac:dyDescent="0.2">
      <c r="A84" s="4" t="s">
        <v>40</v>
      </c>
      <c r="B84" s="176" t="s">
        <v>74</v>
      </c>
      <c r="C84" s="176"/>
      <c r="D84" s="176"/>
      <c r="E84" s="176"/>
      <c r="F84" s="176"/>
      <c r="G84" s="176"/>
      <c r="H84" s="176"/>
      <c r="I84" s="176"/>
      <c r="J84" s="176"/>
    </row>
    <row r="85" spans="1:10" x14ac:dyDescent="0.2">
      <c r="A85" s="4" t="s">
        <v>48</v>
      </c>
      <c r="B85" s="176" t="s">
        <v>75</v>
      </c>
      <c r="C85" s="176"/>
      <c r="D85" s="176"/>
      <c r="E85" s="176"/>
      <c r="F85" s="176"/>
      <c r="G85" s="176"/>
      <c r="H85" s="176"/>
      <c r="I85" s="176"/>
      <c r="J85" s="176"/>
    </row>
    <row r="86" spans="1:10" x14ac:dyDescent="0.2">
      <c r="A86" s="4" t="s">
        <v>49</v>
      </c>
      <c r="B86" s="176" t="s">
        <v>76</v>
      </c>
      <c r="C86" s="176"/>
      <c r="D86" s="176"/>
      <c r="E86" s="176"/>
      <c r="F86" s="176"/>
      <c r="G86" s="176"/>
      <c r="H86" s="176"/>
      <c r="I86" s="176"/>
      <c r="J86" s="176"/>
    </row>
    <row r="87" spans="1:10" s="27" customFormat="1" ht="12.75" customHeight="1" x14ac:dyDescent="0.2">
      <c r="A87" s="175" t="s">
        <v>189</v>
      </c>
      <c r="B87" s="175"/>
      <c r="C87" s="175"/>
      <c r="D87" s="175"/>
      <c r="E87" s="175"/>
      <c r="F87" s="175"/>
      <c r="G87" s="175"/>
      <c r="H87" s="175"/>
      <c r="I87" s="175"/>
      <c r="J87" s="175"/>
    </row>
    <row r="88" spans="1:10" ht="12.75" customHeight="1" x14ac:dyDescent="0.2">
      <c r="A88" s="131" t="s">
        <v>31</v>
      </c>
      <c r="B88" s="179" t="s">
        <v>190</v>
      </c>
      <c r="C88" s="179"/>
      <c r="D88" s="179"/>
      <c r="E88" s="179"/>
      <c r="F88" s="179"/>
      <c r="G88" s="179"/>
      <c r="H88" s="179"/>
      <c r="I88" s="179"/>
      <c r="J88" s="179"/>
    </row>
    <row r="89" spans="1:10" ht="12.75" customHeight="1" x14ac:dyDescent="0.2">
      <c r="A89" s="131" t="s">
        <v>32</v>
      </c>
      <c r="B89" s="179" t="s">
        <v>191</v>
      </c>
      <c r="C89" s="179"/>
      <c r="D89" s="179"/>
      <c r="E89" s="179"/>
      <c r="F89" s="179"/>
      <c r="G89" s="179"/>
      <c r="H89" s="179"/>
      <c r="I89" s="179"/>
      <c r="J89" s="179"/>
    </row>
    <row r="90" spans="1:10" ht="12.75" customHeight="1" x14ac:dyDescent="0.2">
      <c r="A90" s="131" t="s">
        <v>33</v>
      </c>
      <c r="B90" s="179" t="s">
        <v>192</v>
      </c>
      <c r="C90" s="179"/>
      <c r="D90" s="179"/>
      <c r="E90" s="179"/>
      <c r="F90" s="179"/>
      <c r="G90" s="179"/>
      <c r="H90" s="179"/>
      <c r="I90" s="179"/>
      <c r="J90" s="179"/>
    </row>
    <row r="91" spans="1:10" x14ac:dyDescent="0.2">
      <c r="B91" s="179"/>
      <c r="C91" s="179"/>
      <c r="D91" s="179"/>
      <c r="E91" s="179"/>
      <c r="F91" s="179"/>
      <c r="G91" s="179"/>
      <c r="H91" s="179"/>
      <c r="I91" s="179"/>
      <c r="J91" s="179"/>
    </row>
    <row r="92" spans="1:10" x14ac:dyDescent="0.2">
      <c r="B92" s="179"/>
      <c r="C92" s="179"/>
      <c r="D92" s="179"/>
      <c r="E92" s="179"/>
      <c r="F92" s="179"/>
      <c r="G92" s="179"/>
      <c r="H92" s="179"/>
      <c r="I92" s="179"/>
      <c r="J92" s="179"/>
    </row>
  </sheetData>
  <mergeCells count="88">
    <mergeCell ref="A23:D23"/>
    <mergeCell ref="A18:D18"/>
    <mergeCell ref="A19:D19"/>
    <mergeCell ref="A20:D20"/>
    <mergeCell ref="A21:D21"/>
    <mergeCell ref="A22:D22"/>
    <mergeCell ref="A13:D13"/>
    <mergeCell ref="A14:D14"/>
    <mergeCell ref="A15:D15"/>
    <mergeCell ref="A16:D16"/>
    <mergeCell ref="A17:D17"/>
    <mergeCell ref="B5:H6"/>
    <mergeCell ref="E68:J69"/>
    <mergeCell ref="A47:D47"/>
    <mergeCell ref="A59:D59"/>
    <mergeCell ref="A62:D62"/>
    <mergeCell ref="A64:D64"/>
    <mergeCell ref="A68:C68"/>
    <mergeCell ref="A9:D9"/>
    <mergeCell ref="A10:D10"/>
    <mergeCell ref="A11:D11"/>
    <mergeCell ref="A24:D24"/>
    <mergeCell ref="A12:D12"/>
    <mergeCell ref="A35:D35"/>
    <mergeCell ref="A36:D36"/>
    <mergeCell ref="E35:E36"/>
    <mergeCell ref="A25:D25"/>
    <mergeCell ref="E33:J33"/>
    <mergeCell ref="A33:D33"/>
    <mergeCell ref="A34:D34"/>
    <mergeCell ref="A38:B38"/>
    <mergeCell ref="A39:B39"/>
    <mergeCell ref="A71:C71"/>
    <mergeCell ref="B84:J84"/>
    <mergeCell ref="B85:J85"/>
    <mergeCell ref="A51:D51"/>
    <mergeCell ref="A61:D61"/>
    <mergeCell ref="A63:D63"/>
    <mergeCell ref="A60:D60"/>
    <mergeCell ref="A53:J53"/>
    <mergeCell ref="B92:J92"/>
    <mergeCell ref="A57:D57"/>
    <mergeCell ref="B79:G79"/>
    <mergeCell ref="B76:J76"/>
    <mergeCell ref="B77:J77"/>
    <mergeCell ref="B78:J78"/>
    <mergeCell ref="B91:J91"/>
    <mergeCell ref="B88:J88"/>
    <mergeCell ref="B89:J89"/>
    <mergeCell ref="B90:J90"/>
    <mergeCell ref="B82:J82"/>
    <mergeCell ref="A65:D65"/>
    <mergeCell ref="A74:J74"/>
    <mergeCell ref="B81:J81"/>
    <mergeCell ref="B75:J75"/>
    <mergeCell ref="E71:J72"/>
    <mergeCell ref="A87:J87"/>
    <mergeCell ref="B86:J86"/>
    <mergeCell ref="A54:D54"/>
    <mergeCell ref="B27:J27"/>
    <mergeCell ref="B29:J29"/>
    <mergeCell ref="B30:J30"/>
    <mergeCell ref="G35:G36"/>
    <mergeCell ref="H35:H36"/>
    <mergeCell ref="I35:I36"/>
    <mergeCell ref="J35:J36"/>
    <mergeCell ref="F35:F36"/>
    <mergeCell ref="A46:D46"/>
    <mergeCell ref="A44:D44"/>
    <mergeCell ref="B83:J83"/>
    <mergeCell ref="B80:H80"/>
    <mergeCell ref="A41:B41"/>
    <mergeCell ref="B3:H4"/>
    <mergeCell ref="A48:D48"/>
    <mergeCell ref="A52:D52"/>
    <mergeCell ref="A56:D56"/>
    <mergeCell ref="A42:B42"/>
    <mergeCell ref="A49:J49"/>
    <mergeCell ref="A50:D50"/>
    <mergeCell ref="E9:J9"/>
    <mergeCell ref="A55:D55"/>
    <mergeCell ref="A45:D45"/>
    <mergeCell ref="A26:J26"/>
    <mergeCell ref="A43:J43"/>
    <mergeCell ref="A40:B40"/>
    <mergeCell ref="B28:J28"/>
    <mergeCell ref="B31:J31"/>
    <mergeCell ref="A37:D37"/>
  </mergeCells>
  <conditionalFormatting sqref="E25:J25">
    <cfRule type="cellIs" dxfId="4" priority="2" stopIfTrue="1" operator="greaterThan">
      <formula>100%</formula>
    </cfRule>
    <cfRule type="cellIs" dxfId="3" priority="33" stopIfTrue="1" operator="lessThan">
      <formula>100%</formula>
    </cfRule>
    <cfRule type="cellIs" dxfId="2" priority="37" stopIfTrue="1" operator="equal">
      <formula>100%</formula>
    </cfRule>
  </conditionalFormatting>
  <conditionalFormatting sqref="E65:J67">
    <cfRule type="cellIs" dxfId="1" priority="3" operator="equal">
      <formula>1</formula>
    </cfRule>
  </conditionalFormatting>
  <conditionalFormatting sqref="E12:J24">
    <cfRule type="notContainsBlanks" dxfId="0" priority="1">
      <formula>LEN(TRIM(E12))&gt;0</formula>
    </cfRule>
  </conditionalFormatting>
  <dataValidations xWindow="582" yWindow="991" count="2">
    <dataValidation type="list" errorStyle="information" allowBlank="1" showInputMessage="1" showErrorMessage="1" errorTitle="Incorrect entry" error="Please select an entry from the list." promptTitle="Workshop required" prompt="Please indicate if a real options analysis workshop is required." sqref="E57:J57">
      <formula1>"Yes,No,Maybe"</formula1>
    </dataValidation>
    <dataValidation type="whole" errorStyle="information" allowBlank="1" showInputMessage="1" showErrorMessage="1" errorTitle="Incorrect ranking" error="Please enter a ranking from 1 to 6." promptTitle="Option ranking" prompt="Rank each option in order of preference." sqref="E65:J65">
      <formula1>1</formula1>
      <formula2>6</formula2>
    </dataValidation>
  </dataValidations>
  <pageMargins left="0.25" right="0.25" top="0.75" bottom="0.75" header="0.3" footer="0.3"/>
  <pageSetup paperSize="8" scale="97" fitToHeight="0" orientation="portrait" r:id="rId1"/>
  <legacyDrawing r:id="rId2"/>
</worksheet>
</file>

<file path=customUI/_rels/customUI14.xml.rels><?xml version="1.0" encoding="UTF-8" standalone="yes"?>
<Relationships xmlns="http://schemas.openxmlformats.org/package/2006/relationships"><Relationship Id="CreateReport" Type="http://schemas.openxmlformats.org/officeDocument/2006/relationships/image" Target="images/CreateBriefingFolder.png"/><Relationship Id="CopyInterventions" Type="http://schemas.openxmlformats.org/officeDocument/2006/relationships/image" Target="images/CopyInterventions.png"/></Relationships>
</file>

<file path=customUI/customUI14.xml><?xml version="1.0" encoding="utf-8"?>
<customUI xmlns="http://schemas.microsoft.com/office/2009/07/customui">
  <ribbon startFromScratch="false">
    <tabs>
      <tab id="tabRoar" label="ROA Report">
        <group id="grpROAReport" label="ROA Report">
          <button id="btnCopyInterventions" label="Copy Interventions" size="large" image="CopyInterventions" onAction="ROARibbonCallbacks.CallbackOnAction" screentip="Copy interventions to the ROA worksheet."/>
          <button id="btnCreateReport" label="Create Report" size="large" image="CreateReport" onAction="ROARibbonCallbacks.CallbackOnAction" screentip="Create Response Options Analysis Report."/>
        </group>
      </tab>
    </tabs>
  </ribbon>
</customUI>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72</vt:i4>
      </vt:variant>
    </vt:vector>
  </HeadingPairs>
  <TitlesOfParts>
    <vt:vector size="74" baseType="lpstr">
      <vt:lpstr>KPI and Intervention assessment</vt:lpstr>
      <vt:lpstr>ROA Worksheet</vt:lpstr>
      <vt:lpstr>Benefit1KPI1</vt:lpstr>
      <vt:lpstr>Benefit1KPI1Rating</vt:lpstr>
      <vt:lpstr>Benefit1KPI2</vt:lpstr>
      <vt:lpstr>Benefit1KPI2Rating</vt:lpstr>
      <vt:lpstr>Benefit2KPI1</vt:lpstr>
      <vt:lpstr>Benefit2KPI1Rating</vt:lpstr>
      <vt:lpstr>Benefit2KPI2</vt:lpstr>
      <vt:lpstr>Benefit2KPI2Rating</vt:lpstr>
      <vt:lpstr>Benefit3KPI1</vt:lpstr>
      <vt:lpstr>Benefit3KPI1Rating</vt:lpstr>
      <vt:lpstr>Benefit3KPI2</vt:lpstr>
      <vt:lpstr>Benefit3KPI2Rating</vt:lpstr>
      <vt:lpstr>Benefit4KPI1</vt:lpstr>
      <vt:lpstr>Benefit4KPI1Rating</vt:lpstr>
      <vt:lpstr>Benefit4KPI2</vt:lpstr>
      <vt:lpstr>Benefit4KPI2Rating</vt:lpstr>
      <vt:lpstr>DepartmentName</vt:lpstr>
      <vt:lpstr>InvestmentSubtitle</vt:lpstr>
      <vt:lpstr>InvestmentTitle</vt:lpstr>
      <vt:lpstr>Option1Benefit1</vt:lpstr>
      <vt:lpstr>Option1Benefit2</vt:lpstr>
      <vt:lpstr>Option1Benefit3</vt:lpstr>
      <vt:lpstr>Option1Benefit4</vt:lpstr>
      <vt:lpstr>Option1Description</vt:lpstr>
      <vt:lpstr>Option1Interventions</vt:lpstr>
      <vt:lpstr>Option1Title</vt:lpstr>
      <vt:lpstr>Option1WeightedBenefit</vt:lpstr>
      <vt:lpstr>Option2Benefit1</vt:lpstr>
      <vt:lpstr>Option2Benefit2</vt:lpstr>
      <vt:lpstr>Option2Benefit3</vt:lpstr>
      <vt:lpstr>Option2Benefit4</vt:lpstr>
      <vt:lpstr>Option2Description</vt:lpstr>
      <vt:lpstr>Option2Interventions</vt:lpstr>
      <vt:lpstr>Option2Title</vt:lpstr>
      <vt:lpstr>Option2WeightedBenefit</vt:lpstr>
      <vt:lpstr>Option3Benefit1</vt:lpstr>
      <vt:lpstr>Option3Benefit2</vt:lpstr>
      <vt:lpstr>Option3Benefit3</vt:lpstr>
      <vt:lpstr>Option3Benefit4</vt:lpstr>
      <vt:lpstr>Option3Description</vt:lpstr>
      <vt:lpstr>Option3Interventions</vt:lpstr>
      <vt:lpstr>Option3Title</vt:lpstr>
      <vt:lpstr>Option3WeightedBenefit</vt:lpstr>
      <vt:lpstr>Option4Benefit1</vt:lpstr>
      <vt:lpstr>Option4Benefit2</vt:lpstr>
      <vt:lpstr>Option4Benefit3</vt:lpstr>
      <vt:lpstr>Option4Benefit4</vt:lpstr>
      <vt:lpstr>Option4Description</vt:lpstr>
      <vt:lpstr>Option4Interventions</vt:lpstr>
      <vt:lpstr>Option4Title</vt:lpstr>
      <vt:lpstr>Option4WeightedBenefit</vt:lpstr>
      <vt:lpstr>Option5Benefit1</vt:lpstr>
      <vt:lpstr>Option5Benefit2</vt:lpstr>
      <vt:lpstr>Option5Benefit3</vt:lpstr>
      <vt:lpstr>Option5Benefit4</vt:lpstr>
      <vt:lpstr>Option5Description</vt:lpstr>
      <vt:lpstr>Option5Interventions</vt:lpstr>
      <vt:lpstr>Option5Title</vt:lpstr>
      <vt:lpstr>Option5WeightedBenefit</vt:lpstr>
      <vt:lpstr>Option6Benefit1</vt:lpstr>
      <vt:lpstr>Option6Benefit2</vt:lpstr>
      <vt:lpstr>Option6Benefit3</vt:lpstr>
      <vt:lpstr>Option6Benefit4</vt:lpstr>
      <vt:lpstr>Option6Description</vt:lpstr>
      <vt:lpstr>Option6Interventions</vt:lpstr>
      <vt:lpstr>Option6Title</vt:lpstr>
      <vt:lpstr>Option6WeightedBenefit</vt:lpstr>
      <vt:lpstr>OverallAssessment</vt:lpstr>
      <vt:lpstr>'ROA Worksheet'!Print_Area</vt:lpstr>
      <vt:lpstr>Recommendation</vt:lpstr>
      <vt:lpstr>ROAInterventions</vt:lpstr>
      <vt:lpstr>ROARisks</vt:lpstr>
    </vt:vector>
  </TitlesOfParts>
  <Company>CenITex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IMS_6-0_FS_ROA_Worksheet</dc:title>
  <dc:creator>Rae Fankhauser</dc:creator>
  <dc:description>TRIM Record Number: in TRIM database:PT</dc:description>
  <cp:lastModifiedBy>Stephanie Mizzi</cp:lastModifiedBy>
  <cp:lastPrinted>2017-02-14T07:30:30Z</cp:lastPrinted>
  <dcterms:created xsi:type="dcterms:W3CDTF">2012-06-06T01:04:20Z</dcterms:created>
  <dcterms:modified xsi:type="dcterms:W3CDTF">2017-05-31T22:45:09Z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b6b588c0-235a-4a7b-b070-efea42ee1561</vt:lpwstr>
  </property>
  <property fmtid="{D5CDD505-2E9C-101B-9397-08002B2CF9AE}" pid="3" name="PSPFClassification">
    <vt:lpwstr>Do Not Mark</vt:lpwstr>
  </property>
</Properties>
</file>